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8925" windowHeight="4035" tabRatio="983" firstSheet="2" activeTab="14"/>
  </bookViews>
  <sheets>
    <sheet name="KAPAK" sheetId="1" r:id="rId1"/>
    <sheet name="İÇİNDEKİLE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s>
  <externalReferences>
    <externalReference r:id="rId30"/>
    <externalReference r:id="rId31"/>
  </externalReferences>
  <definedNames>
    <definedName name="işkoluna_göre1" localSheetId="25">'24'!$F$9:$I$392</definedName>
  </definedNames>
  <calcPr fullCalcOnLoad="1"/>
</workbook>
</file>

<file path=xl/sharedStrings.xml><?xml version="1.0" encoding="utf-8"?>
<sst xmlns="http://schemas.openxmlformats.org/spreadsheetml/2006/main" count="1631" uniqueCount="704">
  <si>
    <t>Yıllar</t>
  </si>
  <si>
    <t>Oran</t>
  </si>
  <si>
    <t>T.C</t>
  </si>
  <si>
    <t>ÇALIŞMA VE SOSYAL GÜVENLİK BAKANLIĞI</t>
  </si>
  <si>
    <t>SOSYAL SİGORTALAR KURUMU</t>
  </si>
  <si>
    <t>SSK Finansman, Aktüerya ve Planlama Daire Başkanlığı tarafından hazırlanmıştır</t>
  </si>
  <si>
    <r>
      <t xml:space="preserve">( Aylık İstatistik Bültenimizdeki bilgilere </t>
    </r>
    <r>
      <rPr>
        <b/>
        <i/>
        <sz val="14"/>
        <rFont val="Arial Tur"/>
        <family val="0"/>
      </rPr>
      <t>www.ssk.gov.tr</t>
    </r>
    <r>
      <rPr>
        <i/>
        <sz val="11"/>
        <rFont val="Arial Tur"/>
        <family val="0"/>
      </rPr>
      <t xml:space="preserve"> internet adresindeki istatistikler bölümünden ulaşabilirsiniz )</t>
    </r>
  </si>
  <si>
    <t>Aktif Pasif Oranı ( * )</t>
  </si>
  <si>
    <r>
      <t xml:space="preserve">(**) </t>
    </r>
    <r>
      <rPr>
        <b/>
        <sz val="12"/>
        <rFont val="Times New Roman"/>
        <family val="1"/>
      </rPr>
      <t xml:space="preserve">2003 </t>
    </r>
    <r>
      <rPr>
        <sz val="12"/>
        <rFont val="Times New Roman"/>
        <family val="1"/>
      </rPr>
      <t xml:space="preserve">yılında isteğe bağlı sigortalı şartları </t>
    </r>
    <r>
      <rPr>
        <b/>
        <sz val="12"/>
        <rFont val="Times New Roman"/>
        <family val="1"/>
      </rPr>
      <t xml:space="preserve">4842 </t>
    </r>
    <r>
      <rPr>
        <sz val="12"/>
        <rFont val="Times New Roman"/>
        <family val="1"/>
      </rPr>
      <t xml:space="preserve">sayılı kanunla yeniden düzenlenmiştir.Buna göre </t>
    </r>
    <r>
      <rPr>
        <b/>
        <sz val="12"/>
        <rFont val="Times New Roman"/>
        <family val="1"/>
      </rPr>
      <t>üç ay prim</t>
    </r>
    <r>
      <rPr>
        <sz val="12"/>
        <rFont val="Times New Roman"/>
        <family val="1"/>
      </rPr>
      <t xml:space="preserve"> borcunu ödemeyen kişiler sistemden çıkarılmıştır.Bu nedenle isteğe bağlı sigortalı sayısı düşmüştür.</t>
    </r>
  </si>
  <si>
    <t>(*)   Zorunlu sigortalı, isteğe bağlı, çırak, topluluk ve tarım sigortalılarının emekli sayısına bölümü ile bulunmuştur.</t>
  </si>
  <si>
    <t>İsteğe Bağlı (**)</t>
  </si>
  <si>
    <r>
      <t>•ASGARİ ÜCRET</t>
    </r>
    <r>
      <rPr>
        <b/>
        <sz val="11"/>
        <color indexed="8"/>
        <rFont val="Times New Roman"/>
        <family val="1"/>
      </rPr>
      <t xml:space="preserve"> (01.01.2006-31.12.2006)</t>
    </r>
  </si>
  <si>
    <t>Tablo 17 - Asgari Ücret- Asgari Emekli Aylığı</t>
  </si>
  <si>
    <r>
      <t>•</t>
    </r>
    <r>
      <rPr>
        <b/>
        <sz val="9"/>
        <color indexed="8"/>
        <rFont val="Times New Roman"/>
        <family val="1"/>
      </rPr>
      <t>TOPLAM</t>
    </r>
  </si>
  <si>
    <t>Tablo 18 - Tarım Sigortalıları</t>
  </si>
  <si>
    <r>
      <t xml:space="preserve">•  </t>
    </r>
    <r>
      <rPr>
        <i/>
        <sz val="9"/>
        <color indexed="8"/>
        <rFont val="Times New Roman"/>
        <family val="1"/>
      </rPr>
      <t>(ASGARİ ÜCRET ÜZERİNDEN ÇALIŞANLAR EMEKLİ OLDUKLARINDA % 26,5 DAHA FAZLA AYLIK ALMAKTADIRLAR</t>
    </r>
  </si>
  <si>
    <r>
      <t xml:space="preserve">4958 SAYILI KANUNA GÖRE İDARİ PARA CEZALARI     </t>
    </r>
    <r>
      <rPr>
        <i/>
        <sz val="10"/>
        <rFont val="Times New Roman"/>
        <family val="1"/>
      </rPr>
      <t xml:space="preserve"> (01.01.2006-31.12.2006 )</t>
    </r>
  </si>
  <si>
    <t xml:space="preserve">Tablo 19 - İdari para cezaları  </t>
  </si>
  <si>
    <r>
      <t xml:space="preserve">TABLO 16 - SSK Kapsamındaki Nüfus  </t>
    </r>
    <r>
      <rPr>
        <i/>
        <sz val="12"/>
        <color indexed="8"/>
        <rFont val="Times New Roman"/>
        <family val="1"/>
      </rPr>
      <t>(Population Under Coverage of SII)</t>
    </r>
  </si>
  <si>
    <t>Tablo 20 - Prime Esas Kazanç Alt ve Üst Sınırları İle Asgari Ücret Tutarları (TL)</t>
  </si>
  <si>
    <t>Tablo 21 - Kurumumuzdan Aylık ve Gelir Alanların Sayısı</t>
  </si>
  <si>
    <t>Tablo 22 - Yıl İçinde Aylık ve Gelir Bağlananların Sayısı</t>
  </si>
  <si>
    <r>
      <t xml:space="preserve">Ölüm Aylığı Al. </t>
    </r>
    <r>
      <rPr>
        <i/>
        <sz val="10"/>
        <color indexed="8"/>
        <rFont val="Times New Roman"/>
        <family val="1"/>
      </rPr>
      <t xml:space="preserve"> (Kişi)</t>
    </r>
  </si>
  <si>
    <r>
      <t xml:space="preserve">İşkazası ve Mes. Hast. Sonucu Ölüm Haksah. </t>
    </r>
    <r>
      <rPr>
        <i/>
        <sz val="10"/>
        <color indexed="8"/>
        <rFont val="Times New Roman"/>
        <family val="1"/>
      </rPr>
      <t>( Kişi )</t>
    </r>
  </si>
  <si>
    <t>KADRO</t>
  </si>
  <si>
    <t>ÇALIŞAN</t>
  </si>
  <si>
    <t>MEMUR</t>
  </si>
  <si>
    <t>İŞÇİ</t>
  </si>
  <si>
    <t>SÖZLEŞMELİ</t>
  </si>
  <si>
    <t>TOPLAM</t>
  </si>
  <si>
    <r>
      <t xml:space="preserve">Tablo 2 - </t>
    </r>
    <r>
      <rPr>
        <sz val="12"/>
        <rFont val="Times New Roman"/>
        <family val="1"/>
      </rPr>
      <t>Personel Dağılımı</t>
    </r>
  </si>
  <si>
    <t>Tablo 3 - Merkez Teşkilatı Personel Durumu</t>
  </si>
  <si>
    <t>BAŞKANLIK</t>
  </si>
  <si>
    <t>SİGORTA İŞL.GEN.MÜD.</t>
  </si>
  <si>
    <t>SAĞLIK İŞL.GEN.MÜD.</t>
  </si>
  <si>
    <r>
      <t>MERKEZ  TEŞKİLATI  PERSONEL  DURUMU</t>
    </r>
    <r>
      <rPr>
        <sz val="12"/>
        <rFont val="Times New Roman"/>
        <family val="1"/>
      </rPr>
      <t xml:space="preserve"> </t>
    </r>
    <r>
      <rPr>
        <i/>
        <sz val="12"/>
        <rFont val="Times New Roman"/>
        <family val="1"/>
      </rPr>
      <t>( Personnel Sıtuatıon Of Central Organization )</t>
    </r>
  </si>
  <si>
    <r>
      <t xml:space="preserve">Tablo 4 - </t>
    </r>
    <r>
      <rPr>
        <sz val="12"/>
        <rFont val="Times New Roman"/>
        <family val="1"/>
      </rPr>
      <t>Taşra Teşkilatı Personel Durumu</t>
    </r>
  </si>
  <si>
    <t>SİGORTA TESİSLERİ</t>
  </si>
  <si>
    <t>SAĞLIK TESİSLERİ</t>
  </si>
  <si>
    <t>Tablo 5 - İlaç ve Tıbbi Malzeme Sanayii Müessesesi Personel Durumu</t>
  </si>
  <si>
    <r>
      <t xml:space="preserve">2005 YILI BÜTÇE </t>
    </r>
    <r>
      <rPr>
        <sz val="10"/>
        <rFont val="Times New Roman"/>
        <family val="1"/>
      </rPr>
      <t xml:space="preserve">                         </t>
    </r>
    <r>
      <rPr>
        <i/>
        <sz val="10"/>
        <rFont val="Times New Roman"/>
        <family val="1"/>
      </rPr>
      <t xml:space="preserve">    ( Budget in 2005 )</t>
    </r>
  </si>
  <si>
    <r>
      <t>DİĞER GELİRLER</t>
    </r>
    <r>
      <rPr>
        <i/>
        <sz val="10"/>
        <rFont val="Times New Roman"/>
        <family val="1"/>
      </rPr>
      <t xml:space="preserve">                     ( Other Incomes )</t>
    </r>
  </si>
  <si>
    <r>
      <t xml:space="preserve">GİDERLER   TOPLAMI                                            </t>
    </r>
    <r>
      <rPr>
        <i/>
        <sz val="10"/>
        <rFont val="Times New Roman"/>
        <family val="1"/>
      </rPr>
      <t>( Total Expenditures )</t>
    </r>
  </si>
  <si>
    <r>
      <t xml:space="preserve">ÖDEMELER AÇIĞI                                            </t>
    </r>
    <r>
      <rPr>
        <i/>
        <sz val="10"/>
        <rFont val="Times New Roman"/>
        <family val="1"/>
      </rPr>
      <t>( Deficit of Payments )</t>
    </r>
  </si>
  <si>
    <r>
      <t xml:space="preserve">GELİRLER  TOPLAMI                                                                         </t>
    </r>
    <r>
      <rPr>
        <i/>
        <sz val="10"/>
        <rFont val="Times New Roman"/>
        <family val="1"/>
      </rPr>
      <t>( Total Revenue )</t>
    </r>
  </si>
  <si>
    <r>
      <t xml:space="preserve">8,5     </t>
    </r>
    <r>
      <rPr>
        <b/>
        <sz val="14"/>
        <rFont val="Times New Roman"/>
        <family val="1"/>
      </rPr>
      <t>Katrilyon TL</t>
    </r>
  </si>
  <si>
    <r>
      <t xml:space="preserve">18,8     </t>
    </r>
    <r>
      <rPr>
        <b/>
        <sz val="14"/>
        <rFont val="Times New Roman"/>
        <family val="1"/>
      </rPr>
      <t>Katrilyon TL</t>
    </r>
  </si>
  <si>
    <r>
      <t xml:space="preserve">13,5   </t>
    </r>
    <r>
      <rPr>
        <b/>
        <sz val="14"/>
        <rFont val="Times New Roman"/>
        <family val="1"/>
      </rPr>
      <t xml:space="preserve">  Katrilyon TL</t>
    </r>
  </si>
  <si>
    <r>
      <t xml:space="preserve">22,6     </t>
    </r>
    <r>
      <rPr>
        <b/>
        <sz val="14"/>
        <rFont val="Times New Roman"/>
        <family val="1"/>
      </rPr>
      <t>Katrilyon TL</t>
    </r>
  </si>
  <si>
    <r>
      <t xml:space="preserve">35,9     </t>
    </r>
    <r>
      <rPr>
        <b/>
        <sz val="14"/>
        <rFont val="Times New Roman"/>
        <family val="1"/>
      </rPr>
      <t>Katrilyon TL</t>
    </r>
  </si>
  <si>
    <r>
      <t xml:space="preserve">NOT : </t>
    </r>
    <r>
      <rPr>
        <sz val="12"/>
        <rFont val="Times New Roman"/>
        <family val="1"/>
      </rPr>
      <t>2005 yılı revize bütçesi yapılmadığından rakamları verilememektedir.</t>
    </r>
  </si>
  <si>
    <r>
      <t xml:space="preserve">2006 YILI BÜTÇE </t>
    </r>
    <r>
      <rPr>
        <sz val="10"/>
        <rFont val="Times New Roman"/>
        <family val="1"/>
      </rPr>
      <t xml:space="preserve">                         </t>
    </r>
    <r>
      <rPr>
        <i/>
        <sz val="10"/>
        <rFont val="Times New Roman"/>
        <family val="1"/>
      </rPr>
      <t xml:space="preserve">    ( Budget in 2006 )</t>
    </r>
  </si>
  <si>
    <t>Milyar TL</t>
  </si>
  <si>
    <t xml:space="preserve"> </t>
  </si>
  <si>
    <t>(TAHSİLAT VE HARCAMA YÖNÜNDEN)</t>
  </si>
  <si>
    <t>Açık</t>
  </si>
  <si>
    <t>Açık(*)</t>
  </si>
  <si>
    <t>PRİM TAHSİLATI (Premium</t>
  </si>
  <si>
    <t>DİĞER GELİRLER (Other Revenues)</t>
  </si>
  <si>
    <t>2006(Tah.)</t>
  </si>
  <si>
    <t>2004(**)</t>
  </si>
  <si>
    <t>2005(***)</t>
  </si>
  <si>
    <r>
      <t xml:space="preserve">YILLIK ORT. DOLAR KURU ÜZERİNDEN FARK (MİLYON $) </t>
    </r>
    <r>
      <rPr>
        <i/>
        <sz val="9"/>
        <rFont val="Times New Roman"/>
        <family val="1"/>
      </rPr>
      <t>(Deficit Based On Annual Average Exchange of Dollars)</t>
    </r>
  </si>
  <si>
    <t>YILLAR</t>
  </si>
  <si>
    <t>BAĞ - KUR</t>
  </si>
  <si>
    <t xml:space="preserve"> EMEKLİ SANDIĞI</t>
  </si>
  <si>
    <t>SSK (*)</t>
  </si>
  <si>
    <t>BÜTÇE HARCAMALARI İÇİNDEKİ ORANI(%)</t>
  </si>
  <si>
    <t>GSMH İÇİNDEKİ ORANI(%)</t>
  </si>
  <si>
    <t>GSMH</t>
  </si>
  <si>
    <t>MİLYAR TL.</t>
  </si>
  <si>
    <t>BÜTÇE HARCA</t>
  </si>
  <si>
    <t>2005(**)</t>
  </si>
  <si>
    <t xml:space="preserve">    (Buget Transfers to SII, institution of insured, self-the pension employedn fund of the republic)</t>
  </si>
  <si>
    <r>
      <t xml:space="preserve">Tablo 9 - SSK,Bağ-Kur ve Emekli Sandığına yapılan bütçe transferleri </t>
    </r>
    <r>
      <rPr>
        <i/>
        <sz val="12"/>
        <rFont val="Times New Roman"/>
        <family val="1"/>
      </rPr>
      <t>(Milyar TL.)</t>
    </r>
  </si>
  <si>
    <r>
      <t xml:space="preserve">Tablo   7 -  Kurumumuzun Gelir ve Giderleri </t>
    </r>
    <r>
      <rPr>
        <i/>
        <sz val="12"/>
        <rFont val="Times New Roman"/>
        <family val="1"/>
      </rPr>
      <t>( Revenue and expenditure items of Sll )</t>
    </r>
  </si>
  <si>
    <r>
      <t xml:space="preserve">Tablo  6 - Sosyal  Sigortalar Kurumu Bütçesi  </t>
    </r>
    <r>
      <rPr>
        <i/>
        <sz val="12"/>
        <rFont val="Times New Roman"/>
        <family val="1"/>
      </rPr>
      <t>( Budget of Insurance Instition )</t>
    </r>
  </si>
  <si>
    <t>OCAK</t>
  </si>
  <si>
    <t>ŞUBAT</t>
  </si>
  <si>
    <t>MART</t>
  </si>
  <si>
    <t>NİSAN</t>
  </si>
  <si>
    <t>MAYIS</t>
  </si>
  <si>
    <t>HAZİRAN</t>
  </si>
  <si>
    <t>TEMMUZ</t>
  </si>
  <si>
    <t>AĞUSTOS</t>
  </si>
  <si>
    <t>EYLÜL</t>
  </si>
  <si>
    <t>EKİM</t>
  </si>
  <si>
    <t>KASIM</t>
  </si>
  <si>
    <t>ARALIK</t>
  </si>
  <si>
    <t>AYLAR</t>
  </si>
  <si>
    <t>PRİM GELİRLERİ</t>
  </si>
  <si>
    <t>EMEKLİ ÖDEMELERİ</t>
  </si>
  <si>
    <t xml:space="preserve">NİSAN </t>
  </si>
  <si>
    <t>T O P L A M</t>
  </si>
  <si>
    <t>Hazine Yardımı</t>
  </si>
  <si>
    <t>Bağ-Kur Adına Al.</t>
  </si>
  <si>
    <t>ARTIŞ ORANI %</t>
  </si>
  <si>
    <t>-</t>
  </si>
  <si>
    <t xml:space="preserve"> (MİLYON $)</t>
  </si>
  <si>
    <t>TAHAKKUK</t>
  </si>
  <si>
    <t>TAHSİLAT</t>
  </si>
  <si>
    <t>HAZİNE YARDIMLARI</t>
  </si>
  <si>
    <t>PRİM GELİRLERİ , EMEKLİ ÖDEMELERİ VE HAZİNE YARDIMLARI</t>
  </si>
  <si>
    <t>Prim Tahsilatı</t>
  </si>
  <si>
    <t>Toplam Hazineden Yapılan Transferler</t>
  </si>
  <si>
    <t xml:space="preserve"> (Premium Incomes , Payments of Pensions and Treasury Transfers ) </t>
  </si>
  <si>
    <t>2005 YILI HAZİNEDEN YAPILAN TRANSFERLER VE PRİM TAHSİLATLARI</t>
  </si>
  <si>
    <t>NOT:1-2003 YILI PRİM TAHSİLATI ÇALIŞMA RAPORU KİTABIMIZDA 12.745,0 TRİLYON TL.,NAKİT AKIM TABLOSUNDA İSE  13.613,0 TRİLYON TL.DİR. 868,0 TRİLYON TL.FARK İLE ,.2004 YILINDA Kİ ÇALIŞMA RAPORU KİTABIMIZDA 16.967,5 TİRİLYON TL..NAKİT AKIM TABLOSUNDA İSE 17.397,0 TRİLYON TL.'DİR 429,5 TRİLYON TL FARK İSE HER İKİ  YILDA YAPILAN TAKSİTLENDİRMEDENDİR.</t>
  </si>
  <si>
    <r>
      <t xml:space="preserve">PRİM GELİRLERİ   </t>
    </r>
    <r>
      <rPr>
        <i/>
        <sz val="10"/>
        <rFont val="Times New Roman"/>
        <family val="1"/>
      </rPr>
      <t xml:space="preserve"> (TRİLYON TL)</t>
    </r>
  </si>
  <si>
    <r>
      <t xml:space="preserve"> </t>
    </r>
    <r>
      <rPr>
        <i/>
        <sz val="9"/>
        <color indexed="8"/>
        <rFont val="Times New Roman"/>
        <family val="1"/>
      </rPr>
      <t xml:space="preserve"> (MİLYAR  TL.)</t>
    </r>
  </si>
  <si>
    <t>TAHSİLAT ORANI %</t>
  </si>
  <si>
    <r>
      <t xml:space="preserve">EMEKLİ ÖDEME TUTARI </t>
    </r>
    <r>
      <rPr>
        <i/>
        <sz val="9"/>
        <rFont val="Times New Roman"/>
        <family val="1"/>
      </rPr>
      <t>( SYZ Dahil ) ( Trilyon TL )</t>
    </r>
  </si>
  <si>
    <t xml:space="preserve">Tablo 8 - Kurumun Ödemeler Dengesinin Yıllar İtibariyle Değişimi </t>
  </si>
  <si>
    <t>Tablo 10 - Prim Gelirleri , Emekli Ödemeleri ve Hazine Yardımları</t>
  </si>
  <si>
    <r>
      <t xml:space="preserve">Tablo 11 - Prim gelirleri ve emekli ödemeleri  </t>
    </r>
    <r>
      <rPr>
        <i/>
        <sz val="12"/>
        <rFont val="Times New Roman"/>
        <family val="1"/>
      </rPr>
      <t xml:space="preserve">(Premium Incomes and Payments of Pensions) </t>
    </r>
  </si>
  <si>
    <t xml:space="preserve"> 2005 YILI </t>
  </si>
  <si>
    <t xml:space="preserve"> 2006 YILI </t>
  </si>
  <si>
    <t>PRİM GELİRLERİNİN EMEKLİ ÖDEMELERİNİ KARŞILAMA ORANI (%)</t>
  </si>
  <si>
    <r>
      <t>NOT</t>
    </r>
    <r>
      <rPr>
        <sz val="11"/>
        <color indexed="8"/>
        <rFont val="Times New Roman"/>
        <family val="1"/>
      </rPr>
      <t xml:space="preserve">:Aylar itibariyle göstermiş olduğumuz  prim gelirleri ve emekli ödemelerimiz nakit akım tablosundan alınmaktadır.Ayrıca, emekli ödemeleri içinde Müşterek emeklilik </t>
    </r>
    <r>
      <rPr>
        <b/>
        <i/>
        <sz val="11"/>
        <color indexed="8"/>
        <rFont val="Times New Roman"/>
        <family val="1"/>
      </rPr>
      <t>(Bağ-Kur,Emekli Sandığı ve Ek 20 madde Sandıkları)</t>
    </r>
    <r>
      <rPr>
        <sz val="11"/>
        <color indexed="8"/>
        <rFont val="Times New Roman"/>
        <family val="1"/>
      </rPr>
      <t xml:space="preserve"> adına yapılan ödemeler de dahildir.</t>
    </r>
  </si>
  <si>
    <t>Tablo 12 - 2005 Yılı Hazineden Alınanlar ve Prim Tahsilatları</t>
  </si>
  <si>
    <t>Milyar TL.</t>
  </si>
  <si>
    <t>Tablo 13 - 2005 Yılı Hazineden Alınanlar ve Prim Tahsilatları</t>
  </si>
  <si>
    <t>(Milyon $)</t>
  </si>
  <si>
    <t>2006 YILI HAZİNEDEN YAPILAN TRANSFERLER VE PRİM TAHSİLATLARI</t>
  </si>
  <si>
    <t>Tablo 14 - 2006 Yılı Hazineden Alınanlar ve Prim Tahsilatları</t>
  </si>
  <si>
    <t>Tablo 15 - 2006 Yılı Hazineden Alınanlar ve Prim Tahsilatları</t>
  </si>
  <si>
    <t>Ek Ödeme</t>
  </si>
  <si>
    <t>Zorunlu Sigortalı</t>
  </si>
  <si>
    <t>Çıraklar</t>
  </si>
  <si>
    <t>Topluluk</t>
  </si>
  <si>
    <t>Tarım</t>
  </si>
  <si>
    <t>Emekli Sayısı</t>
  </si>
  <si>
    <t>Aile Bireyleri</t>
  </si>
  <si>
    <t>Kapsamdaki Toplam Nüfus</t>
  </si>
  <si>
    <t>•AİLE FERDİ</t>
  </si>
  <si>
    <t>UYGULAMA TARİHİ</t>
  </si>
  <si>
    <t>ALT SINIR</t>
  </si>
  <si>
    <t>ÜST SINIR</t>
  </si>
  <si>
    <t>01.04.2001-31.3.2002</t>
  </si>
  <si>
    <t>GÜNLÜK</t>
  </si>
  <si>
    <t>AYLIK</t>
  </si>
  <si>
    <t>01.04.2002-30.6.2002</t>
  </si>
  <si>
    <t>01.07.2002-31.3.2003</t>
  </si>
  <si>
    <t>TAHSİS TÜRLERİ</t>
  </si>
  <si>
    <t>Yaşlılık Aylığı Alanlar</t>
  </si>
  <si>
    <t>Ölüm Aylığı Alanlar</t>
  </si>
  <si>
    <t>Malüllük Aylığı Alanlar</t>
  </si>
  <si>
    <t>İşkazası ve Mes. Hast. Sonucu Ölüm Haksahipleri</t>
  </si>
  <si>
    <t>Compulsory Insured</t>
  </si>
  <si>
    <t>Apprenticies</t>
  </si>
  <si>
    <t>Voluntarily Insured</t>
  </si>
  <si>
    <t>Dependents</t>
  </si>
  <si>
    <t>Cellective Insurance</t>
  </si>
  <si>
    <t>Insured in Agricultural Sector</t>
  </si>
  <si>
    <t>N'of Pensioners</t>
  </si>
  <si>
    <t>Total Population Group Covered by SII</t>
  </si>
  <si>
    <t>Sigortalı</t>
  </si>
  <si>
    <t xml:space="preserve">Total Insured </t>
  </si>
  <si>
    <t>YIL İÇİNDE AYLIK VE GELİR BAĞLANANLARIN SAYISI</t>
  </si>
  <si>
    <t>*</t>
  </si>
  <si>
    <t>İŞYERİNİ BİLDİRMEYEN</t>
  </si>
  <si>
    <t>SİGORTALIYI BİLDİRMEYEN</t>
  </si>
  <si>
    <t>BİLDİRGE VERMEYEN</t>
  </si>
  <si>
    <t>VİZİTE KAĞIDININ VERİLMEMESİ</t>
  </si>
  <si>
    <t>01.04.2003-30.06.2003</t>
  </si>
  <si>
    <t xml:space="preserve">• TARIM SİG. SAYISI                 </t>
  </si>
  <si>
    <t>2001YILI</t>
  </si>
  <si>
    <t>01.04.2002-30.06.2002</t>
  </si>
  <si>
    <t>01.07.2002-31.03.2003</t>
  </si>
  <si>
    <t>Sürekli İşgör.Geliri Al.</t>
  </si>
  <si>
    <t>01.01.2000 -31.03.2000</t>
  </si>
  <si>
    <t xml:space="preserve">4447 sayılı kanun öncesi </t>
  </si>
  <si>
    <t>•BRÜT</t>
  </si>
  <si>
    <t>•NET</t>
  </si>
  <si>
    <t>•AYLIĞI</t>
  </si>
  <si>
    <t>ASGARİ ÜCRET-ASGARİ EMEKLİ AYLIĞI</t>
  </si>
  <si>
    <t>UYGULAMA TARİHLERİ</t>
  </si>
  <si>
    <t>01.04.2000-31.07.2000</t>
  </si>
  <si>
    <t>01.08.2000-31.3.2001</t>
  </si>
  <si>
    <t>2002 YILI</t>
  </si>
  <si>
    <t>Bilanço esasına göre defter tutmak zorunda olanlar</t>
  </si>
  <si>
    <t>Diğer defter tutmak zorunda olanlar</t>
  </si>
  <si>
    <t>Defter tutmakla yükümlü olmayanlar</t>
  </si>
  <si>
    <t>Sigortalıyı Bildirmeyen</t>
  </si>
  <si>
    <t>Sigortalıyı Bildirmeyen(Çalışma izninin olmaması durumunda)</t>
  </si>
  <si>
    <t>Asıl nitelikte olması halinde belgede kayıtlı sigortalı başına</t>
  </si>
  <si>
    <t>Ek belge niteliğinde olması halinde sigortalı sayısına bakılmaksızın</t>
  </si>
  <si>
    <t>Hiç belge vermeyenlere ise sigortalı sayısına bakılmaksızın her ay için</t>
  </si>
  <si>
    <t xml:space="preserve">BELGE İBRAZ ETMEYEN </t>
  </si>
  <si>
    <t>Bilanço esasına göre defter tutmakla yükümlü iseler</t>
  </si>
  <si>
    <t>Diğer defter tutmakla yükümlü iseler</t>
  </si>
  <si>
    <t>Diğer defter tutmakla yükümlü değil iseler</t>
  </si>
  <si>
    <t xml:space="preserve">BELGENİN İŞÇİLER TARAFINDAN DA GÖRÜLEBİLECEK BİR YERE ASILMAMASI HALİNDE </t>
  </si>
  <si>
    <t xml:space="preserve">ASGARİ ÜCRET  :  </t>
  </si>
  <si>
    <t>Asgari Ücretin 3 katı</t>
  </si>
  <si>
    <t>Asgari Ücretin 2 katı</t>
  </si>
  <si>
    <t>Asgari Ücret  Tutarında</t>
  </si>
  <si>
    <t>Asgari Ücretin 1/5  Tutarında</t>
  </si>
  <si>
    <t>Asgari Ücretin 1/8  Tutarında</t>
  </si>
  <si>
    <t>Asgari Ücretin 12 katı</t>
  </si>
  <si>
    <t>Asgari Ücretin 6 katı</t>
  </si>
  <si>
    <t>01.07.2003-31.12.2003</t>
  </si>
  <si>
    <t xml:space="preserve"> TOPLAM İÇİNDEKİ ORANI %</t>
  </si>
  <si>
    <t>2003 YILI</t>
  </si>
  <si>
    <t>01.01.2004-30.06.2004</t>
  </si>
  <si>
    <t>01.07.2004-31.12.2004</t>
  </si>
  <si>
    <t xml:space="preserve"> İBRAZ EDİLEN BELGELERİN YÖNETMELİKLE BELİRLENEN USUL VE ESASLARA  UYGUN OLMAMASI HALİNDE </t>
  </si>
  <si>
    <t>Asgari Ücretin 1/2 katı</t>
  </si>
  <si>
    <t xml:space="preserve">veya kazançları Kuruma bildirilmediği veya eksik bildirildiği sigortalılarla ilgili </t>
  </si>
  <si>
    <t>düzenlenip düzenlenmediğine bakılmaksızın</t>
  </si>
  <si>
    <t xml:space="preserve">olması halinde,belgenin asıl veya ek nitelikte olup olmadığına, işverence </t>
  </si>
  <si>
    <t xml:space="preserve">Sigorta Müfettişi Tarafından veya Serbest Muhasebeci Mali Müşavir ve </t>
  </si>
  <si>
    <t xml:space="preserve">Yeminli Mali Müşavirlerce Düzenlenen Raporlara istinaden Kuruma </t>
  </si>
  <si>
    <t>bildirilmediği tespit edilen eksik işçilik tutarının mal edildiği adaylardan dolayı</t>
  </si>
  <si>
    <t xml:space="preserve">Belgenin Mahkeme Kararı ile veya Denetim Elemanlarınca yapılan tespitler </t>
  </si>
  <si>
    <t>sonucunda ya da Kamu Kurum ve Kuruluşları tarafından düzenlenen belgelerden hizmetleri</t>
  </si>
  <si>
    <t>(488,70 YTL.)</t>
  </si>
  <si>
    <t>01.01.2005-31.12.2005</t>
  </si>
  <si>
    <t>YTL.</t>
  </si>
  <si>
    <t>(16,29 YTL.)</t>
  </si>
  <si>
    <t>(105,89 YTL.)</t>
  </si>
  <si>
    <t>(3.176,70 YTL.)</t>
  </si>
  <si>
    <t>ASGARİ ÜCRET</t>
  </si>
  <si>
    <t>01.07.2000-31.12.2000</t>
  </si>
  <si>
    <t>01.01.2001-30.06.2001</t>
  </si>
  <si>
    <t>01.01.2000 -30.06.2000</t>
  </si>
  <si>
    <t>01.07.2001-31.07.2001</t>
  </si>
  <si>
    <t>01.08.2001-31.12.2001</t>
  </si>
  <si>
    <t>01.01.2002-30.06.2002</t>
  </si>
  <si>
    <t>01.07.2002-31.12.2002</t>
  </si>
  <si>
    <t>01.01.2003-31.12.2003</t>
  </si>
  <si>
    <t>Malullük Aylığı Al.</t>
  </si>
  <si>
    <t>Yaşlılık Aylığı Al.</t>
  </si>
  <si>
    <t>2004 YILI</t>
  </si>
  <si>
    <t>531.000.000 TL.</t>
  </si>
  <si>
    <t>(380,46 YTL.)</t>
  </si>
  <si>
    <t>01.01.2006-31.12.2006</t>
  </si>
  <si>
    <t>(17,70 YTL.)</t>
  </si>
  <si>
    <t>(531,00 YTL.)</t>
  </si>
  <si>
    <t>(3.451,50 YTL.)</t>
  </si>
  <si>
    <t>(481,44 YTL.)</t>
  </si>
  <si>
    <t>(115,05 YTL.)</t>
  </si>
  <si>
    <t xml:space="preserve">AYLAR </t>
  </si>
  <si>
    <t xml:space="preserve">             2000   OCAK </t>
  </si>
  <si>
    <t xml:space="preserve">                        ARALIK </t>
  </si>
  <si>
    <t xml:space="preserve">                       ARALIK</t>
  </si>
  <si>
    <t>2002 OCAK</t>
  </si>
  <si>
    <t xml:space="preserve">      ŞUBAT</t>
  </si>
  <si>
    <t xml:space="preserve">      MART</t>
  </si>
  <si>
    <t xml:space="preserve">      NİSAN</t>
  </si>
  <si>
    <t xml:space="preserve">      MAYIS</t>
  </si>
  <si>
    <t xml:space="preserve">           HAZİRAN</t>
  </si>
  <si>
    <t xml:space="preserve">           TEMMUZ</t>
  </si>
  <si>
    <t xml:space="preserve">            AĞUSTOS</t>
  </si>
  <si>
    <t xml:space="preserve">      EYLÜL</t>
  </si>
  <si>
    <t xml:space="preserve">   EKİM</t>
  </si>
  <si>
    <t xml:space="preserve">     KASIM</t>
  </si>
  <si>
    <t xml:space="preserve">       ARALIK</t>
  </si>
  <si>
    <t>POLİKLİNİK SAYISI</t>
  </si>
  <si>
    <t>YATAN HASTA SAYISI</t>
  </si>
  <si>
    <t>YATAK- GÜN SAYISI</t>
  </si>
  <si>
    <t>AMELİYAT SAYISI</t>
  </si>
  <si>
    <t>DOĞUM SAYISI</t>
  </si>
  <si>
    <t>REÇETE SAYISI</t>
  </si>
  <si>
    <t>TABELA SAYISI</t>
  </si>
  <si>
    <t>DIŞARIDAN SATIN ALINAN HİZMET</t>
  </si>
  <si>
    <t>DIŞARIDAN SATIN ALINAN HİZMETİN  TOPLAM İÇİNDEKİ ORANI(%)</t>
  </si>
  <si>
    <t>748.699,5</t>
  </si>
  <si>
    <t>Toplam</t>
  </si>
  <si>
    <t>2003 OCAK</t>
  </si>
  <si>
    <t>(Sosyal Destek Ödemesi)</t>
  </si>
  <si>
    <t>KURUM ECZANELERİ</t>
  </si>
  <si>
    <t>ANLAŞMALI ECZANELER</t>
  </si>
  <si>
    <t>(MİLYAR TL)</t>
  </si>
  <si>
    <t xml:space="preserve">    2003  HAZİRAN</t>
  </si>
  <si>
    <t xml:space="preserve">    2003  TEMMUZ</t>
  </si>
  <si>
    <t xml:space="preserve">    2003  AĞUSTOS</t>
  </si>
  <si>
    <t xml:space="preserve">    2003  EYLÜL</t>
  </si>
  <si>
    <t xml:space="preserve">    2003  EKİM</t>
  </si>
  <si>
    <t>İLAÇ KUTU SAYISI(*)</t>
  </si>
  <si>
    <t>İLAÇ ÇEŞİDİ SAYISI(**)</t>
  </si>
  <si>
    <t>(*) Ayakta tedavi edilen hastalara verilen ilaç sayısını göstermektedir.</t>
  </si>
  <si>
    <t>(**) Yatarak tedavi edilen hastalara verilen ilaç sayısını göstermektedir.</t>
  </si>
  <si>
    <t xml:space="preserve">    2003  KASIM</t>
  </si>
  <si>
    <t xml:space="preserve">    2003  ARALIK</t>
  </si>
  <si>
    <t xml:space="preserve">2004 OCAK </t>
  </si>
  <si>
    <t>TÜFE  (% )</t>
  </si>
  <si>
    <t xml:space="preserve"> ARALIK </t>
  </si>
  <si>
    <t>(**)İlaç giderleri dahildir.</t>
  </si>
  <si>
    <t>TOPLAM(**)</t>
  </si>
  <si>
    <t xml:space="preserve">2005 OCAK </t>
  </si>
  <si>
    <t>2005(*)</t>
  </si>
  <si>
    <t>2006(Tahmini)</t>
  </si>
  <si>
    <t>(**) Emeklilerimize %3 lük ocak ayı artışı ile birlikte  %4 lük de vergi iade artışı verilmiştir.</t>
  </si>
  <si>
    <r>
      <t>ASGARİ AYLIK</t>
    </r>
    <r>
      <rPr>
        <sz val="10"/>
        <rFont val="Times New Roman"/>
        <family val="1"/>
      </rPr>
      <t xml:space="preserve"> </t>
    </r>
  </si>
  <si>
    <r>
      <t>Toplam artış oranı</t>
    </r>
    <r>
      <rPr>
        <sz val="10"/>
        <rFont val="Times New Roman"/>
        <family val="1"/>
      </rPr>
      <t xml:space="preserve"> </t>
    </r>
  </si>
  <si>
    <r>
      <t xml:space="preserve">             2001   OCAK</t>
    </r>
    <r>
      <rPr>
        <sz val="10"/>
        <rFont val="Times New Roman"/>
        <family val="1"/>
      </rPr>
      <t xml:space="preserve"> </t>
    </r>
  </si>
  <si>
    <r>
      <t xml:space="preserve">Tablo 23 - Emekli Aylık Seviyeleri </t>
    </r>
    <r>
      <rPr>
        <i/>
        <sz val="12"/>
        <rFont val="Times New Roman"/>
        <family val="1"/>
      </rPr>
      <t>(TL.) (SYZ Dahil)</t>
    </r>
  </si>
  <si>
    <t>Tablo 26 - Tedavi Faaliyetleri</t>
  </si>
  <si>
    <t xml:space="preserve">2004 YILI SEKTÖRLER İTİBARİYLE YATIRIM PROGRAMI                             </t>
  </si>
  <si>
    <t>(ARALIK AYI İTİBARİYLE ) (Investment Program by the Sector in 2004)</t>
  </si>
  <si>
    <t>(Milyar TL)</t>
  </si>
  <si>
    <t>SEKTÖR</t>
  </si>
  <si>
    <t>İNŞAAT</t>
  </si>
  <si>
    <t>MAKİNA TEÇHİZAT  (Tıbbi Cihaz+Bilgisayar)</t>
  </si>
  <si>
    <t>TAŞIT ALIMI</t>
  </si>
  <si>
    <t>HARCAMA</t>
  </si>
  <si>
    <t>ÖDENEK</t>
  </si>
  <si>
    <t>SAĞLIK</t>
  </si>
  <si>
    <t>85.684(*)</t>
  </si>
  <si>
    <t>DKH (TİCARET)</t>
  </si>
  <si>
    <t>15.545(**)</t>
  </si>
  <si>
    <t xml:space="preserve">2005 YILI SEKTÖRLER İTİBARİYLE YATIRIM PROGRAMI                             </t>
  </si>
  <si>
    <t xml:space="preserve"> (Investment Program by the Sector in 2005)</t>
  </si>
  <si>
    <t>BİLGİSAYAR ALIMI</t>
  </si>
  <si>
    <t>HARCAMA(*)</t>
  </si>
  <si>
    <t xml:space="preserve">2006 YILI SEKTÖRLER İTİBARİYLE YATIRIM PROGRAMI                             </t>
  </si>
  <si>
    <t xml:space="preserve"> (Investment Program by the Sector in 2006)</t>
  </si>
  <si>
    <t>(Bin YTL)</t>
  </si>
  <si>
    <t>Tablo 27 - 2004 Yılı Sektörler İtibariyle Yatırım Programı</t>
  </si>
  <si>
    <t>Tablo 28 - 2005 Yılı Sektörler İtibariyle Yatırım Programı</t>
  </si>
  <si>
    <t>(*) - Mevcut ödeneğine Kurum gelirlerinden ayrılan %10'luk kaynaktan Sağlık Sektörü Bilgisayar Alımı projesine  18.084 Milyar TL Bakan onayı ile ek ödenek tahsili yapılmıştır.</t>
  </si>
  <si>
    <t xml:space="preserve">   -DPT Müsteşarlığının 21.05.2004 tarih ve 298/861 sayılı yazıları ile sağlık sektörü Makine Teçhizat Alımı  projesinin ödeneğinden 4.096 Milyar TL  Sağlık Sektörü Bilgisayar alımı projesine aktarılmıştır.</t>
  </si>
  <si>
    <t>(**)- Mevcut ödeneğine Kurum gelirlerinden ayrılan %10'luk kaynaktan Ticaret Sektörü Bilgisayar Alımı projesine  9.045 Milyar TL Bakan onayı ile ek ödenek tahsisi yapılmıştır.</t>
  </si>
  <si>
    <t>Tablo 29 - 2006 Yılı Sektörler İtibariyle Yatırım Programı</t>
  </si>
  <si>
    <r>
      <t xml:space="preserve">NOT:Yüksek Planlama Kurulunun 26.04.2005 tarih, 2005/16 ve Bakanlar Kurulunun 05.05.2005 tarih, 2005/8947 sayılı kararları ile  5283 sayılı Kanun uyarınca '' </t>
    </r>
    <r>
      <rPr>
        <b/>
        <sz val="10"/>
        <rFont val="Times New Roman"/>
        <family val="1"/>
      </rPr>
      <t>Bazı Kamu Kurum ve Kuruluşlarına ait Sağlık Birimlerinin Sağlık Bakanlığına Devredilmesine Dair</t>
    </r>
    <r>
      <rPr>
        <sz val="9"/>
        <rFont val="Times New Roman"/>
        <family val="1"/>
      </rPr>
      <t>'' Kanun çerçevesinde Sağlık Projeleri Sağlık Bakanlığına devredilmiştir. Yatırım Programı ile verilen ödenek 10.000.000.YTL olup, DPT Müsteşarlığınca inşaat projeleri için 12.220.000 YTL ve Bilgisayar Alımı için 5.000.000 YTL.olmak üzere  toplam 17.220.000.YTL. ek ödenek verilmiştir.</t>
    </r>
  </si>
  <si>
    <t xml:space="preserve">SİGORTA TEŞKİLATI </t>
  </si>
  <si>
    <t xml:space="preserve">DİĞER ÜNİTELER </t>
  </si>
  <si>
    <r>
      <t xml:space="preserve">Tablo 1 - Taşra Teşkilatı </t>
    </r>
    <r>
      <rPr>
        <i/>
        <sz val="12"/>
        <rFont val="Times New Roman"/>
        <family val="1"/>
      </rPr>
      <t>(Provincial Organizations)</t>
    </r>
  </si>
  <si>
    <r>
      <t xml:space="preserve">•      </t>
    </r>
    <r>
      <rPr>
        <b/>
        <sz val="12"/>
        <color indexed="8"/>
        <rFont val="Times New Roman"/>
        <family val="1"/>
      </rPr>
      <t xml:space="preserve">81       SİGORTA İL MÜDÜRLÜĞÜ </t>
    </r>
  </si>
  <si>
    <r>
      <t xml:space="preserve">•       </t>
    </r>
    <r>
      <rPr>
        <b/>
        <sz val="12"/>
        <color indexed="8"/>
        <rFont val="Times New Roman"/>
        <family val="1"/>
      </rPr>
      <t>15       SİGORTA ÖDEME BÜROSU</t>
    </r>
  </si>
  <si>
    <r>
      <t xml:space="preserve">•        </t>
    </r>
    <r>
      <rPr>
        <b/>
        <sz val="12"/>
        <color indexed="8"/>
        <rFont val="Times New Roman"/>
        <family val="1"/>
      </rPr>
      <t>16</t>
    </r>
    <r>
      <rPr>
        <sz val="12"/>
        <color indexed="8"/>
        <rFont val="Times New Roman"/>
        <family val="1"/>
      </rPr>
      <t xml:space="preserve">      </t>
    </r>
    <r>
      <rPr>
        <b/>
        <sz val="12"/>
        <color indexed="8"/>
        <rFont val="Times New Roman"/>
        <family val="1"/>
      </rPr>
      <t xml:space="preserve">SAĞLIK İŞLERİ İL MÜDÜRLÜĞÜ </t>
    </r>
  </si>
  <si>
    <t>•          1       İLAÇ VE TIBBİ MALZEME SANAYİİ MÜESSESESİ</t>
  </si>
  <si>
    <r>
      <t xml:space="preserve">•          </t>
    </r>
    <r>
      <rPr>
        <b/>
        <sz val="12"/>
        <color indexed="8"/>
        <rFont val="Times New Roman"/>
        <family val="1"/>
      </rPr>
      <t xml:space="preserve">1      HUZUREVİ (47 YATAKLI) </t>
    </r>
  </si>
  <si>
    <r>
      <t xml:space="preserve">•           </t>
    </r>
    <r>
      <rPr>
        <b/>
        <sz val="12"/>
        <color indexed="8"/>
        <rFont val="Times New Roman"/>
        <family val="1"/>
      </rPr>
      <t xml:space="preserve">6     KREŞ VE GÜNDÜZ BAKIMEVİ </t>
    </r>
  </si>
  <si>
    <t>SOSYAL SİGORTALAR KURUMU ORGANİZASYON YAPISI</t>
  </si>
  <si>
    <r>
      <t>GENEL KURUL</t>
    </r>
    <r>
      <rPr>
        <b/>
        <sz val="7"/>
        <color indexed="60"/>
        <rFont val="Times New Roman"/>
        <family val="1"/>
      </rPr>
      <t xml:space="preserve"> </t>
    </r>
  </si>
  <si>
    <t>YÖNETİM KURULU</t>
  </si>
  <si>
    <r>
      <t>BAŞKAN</t>
    </r>
    <r>
      <rPr>
        <b/>
        <sz val="7"/>
        <color indexed="60"/>
        <rFont val="Times New Roman"/>
        <family val="1"/>
      </rPr>
      <t xml:space="preserve"> </t>
    </r>
  </si>
  <si>
    <t>FİNANS., AKTÜERYA VE PLANLAMA (D)</t>
  </si>
  <si>
    <t>TEFTİŞ KURULU (D)</t>
  </si>
  <si>
    <t>BİLGİ İŞLEM (D)</t>
  </si>
  <si>
    <t>HUKUK (D)</t>
  </si>
  <si>
    <t>MUHASEBE VE MALİ İŞLER (D)</t>
  </si>
  <si>
    <r>
      <t>SİGORTA TEFTİŞ</t>
    </r>
    <r>
      <rPr>
        <b/>
        <sz val="7"/>
        <color indexed="60"/>
        <rFont val="Times New Roman"/>
        <family val="1"/>
      </rPr>
      <t xml:space="preserve"> </t>
    </r>
    <r>
      <rPr>
        <sz val="7"/>
        <rFont val="Times New Roman"/>
        <family val="1"/>
      </rPr>
      <t>(D)</t>
    </r>
  </si>
  <si>
    <r>
      <t>SAVUNMA UZMANLIĞI</t>
    </r>
    <r>
      <rPr>
        <b/>
        <sz val="7"/>
        <color indexed="60"/>
        <rFont val="Times New Roman"/>
        <family val="1"/>
      </rPr>
      <t xml:space="preserve"> </t>
    </r>
    <r>
      <rPr>
        <sz val="7"/>
        <rFont val="Times New Roman"/>
        <family val="1"/>
      </rPr>
      <t>(D)</t>
    </r>
  </si>
  <si>
    <t xml:space="preserve">SSK SİGORTA İŞLERİ </t>
  </si>
  <si>
    <t xml:space="preserve">SSK SAĞLIK İŞLERİ </t>
  </si>
  <si>
    <t>GENEL MÜDÜRLÜĞÜ</t>
  </si>
  <si>
    <r>
      <t>PERSONEL VE EĞİTİM (Y)</t>
    </r>
    <r>
      <rPr>
        <b/>
        <sz val="7"/>
        <color indexed="60"/>
        <rFont val="Times New Roman"/>
        <family val="1"/>
      </rPr>
      <t xml:space="preserve"> </t>
    </r>
  </si>
  <si>
    <t>GENEL MÜDÜR</t>
  </si>
  <si>
    <t xml:space="preserve">PERSONEL EĞİTİM </t>
  </si>
  <si>
    <t>VE SOSYAL İŞLER (Y)</t>
  </si>
  <si>
    <t xml:space="preserve">GENEL MÜDÜR </t>
  </si>
  <si>
    <r>
      <t>YARDIMCISI</t>
    </r>
    <r>
      <rPr>
        <b/>
        <sz val="7"/>
        <color indexed="60"/>
        <rFont val="Times New Roman"/>
        <family val="1"/>
      </rPr>
      <t xml:space="preserve"> </t>
    </r>
  </si>
  <si>
    <t xml:space="preserve">SİGORTA PRİMLERİ (A) </t>
  </si>
  <si>
    <r>
      <t>DESTEK HİZMETLERİ  (Y)</t>
    </r>
    <r>
      <rPr>
        <b/>
        <sz val="7"/>
        <color indexed="60"/>
        <rFont val="Times New Roman"/>
        <family val="1"/>
      </rPr>
      <t xml:space="preserve"> </t>
    </r>
  </si>
  <si>
    <t>EMLAK (Y)</t>
  </si>
  <si>
    <t xml:space="preserve">TEDAVİ HİZ. </t>
  </si>
  <si>
    <t>İLAÇ VE ECZACILIK (A)</t>
  </si>
  <si>
    <r>
      <t xml:space="preserve"> </t>
    </r>
    <r>
      <rPr>
        <b/>
        <sz val="7"/>
        <color indexed="60"/>
        <rFont val="Times New Roman"/>
        <family val="1"/>
      </rPr>
      <t xml:space="preserve"> </t>
    </r>
  </si>
  <si>
    <t>İNŞAAT (Y)</t>
  </si>
  <si>
    <t xml:space="preserve">VE MALÜLİYET  (A) </t>
  </si>
  <si>
    <t>TAHSİSLER  (A)</t>
  </si>
  <si>
    <t xml:space="preserve">  KISA VADELİ  </t>
  </si>
  <si>
    <t>MALZEME SATINALMA</t>
  </si>
  <si>
    <r>
      <t>SİGORTALAR (A)</t>
    </r>
    <r>
      <rPr>
        <b/>
        <sz val="7"/>
        <color indexed="60"/>
        <rFont val="Times New Roman"/>
        <family val="1"/>
      </rPr>
      <t xml:space="preserve"> </t>
    </r>
  </si>
  <si>
    <r>
      <t xml:space="preserve"> VE İDARİ İŞLER (Y)</t>
    </r>
    <r>
      <rPr>
        <b/>
        <sz val="7"/>
        <color indexed="60"/>
        <rFont val="Times New Roman"/>
        <family val="1"/>
      </rPr>
      <t xml:space="preserve"> </t>
    </r>
  </si>
  <si>
    <t xml:space="preserve">YURTDIŞI İŞÇİ </t>
  </si>
  <si>
    <t xml:space="preserve">SAĞLIK HİZ. SATIN </t>
  </si>
  <si>
    <t>HİZMETLERİ (A)</t>
  </si>
  <si>
    <r>
      <t xml:space="preserve"> ALMA (A)</t>
    </r>
    <r>
      <rPr>
        <b/>
        <sz val="7"/>
        <color indexed="60"/>
        <rFont val="Times New Roman"/>
        <family val="1"/>
      </rPr>
      <t xml:space="preserve"> </t>
    </r>
  </si>
  <si>
    <t>TAŞRA TEŞKİLATI</t>
  </si>
  <si>
    <r>
      <t>(A)</t>
    </r>
    <r>
      <rPr>
        <sz val="10"/>
        <rFont val="Times New Roman"/>
        <family val="1"/>
      </rPr>
      <t xml:space="preserve"> Ana Hizmet Birimi</t>
    </r>
  </si>
  <si>
    <r>
      <t>(D)</t>
    </r>
    <r>
      <rPr>
        <sz val="10"/>
        <rFont val="Times New Roman"/>
        <family val="1"/>
      </rPr>
      <t xml:space="preserve"> Denetim, Danışma veya Destek  Hizmet Birimi</t>
    </r>
  </si>
  <si>
    <r>
      <t>(Y)</t>
    </r>
    <r>
      <rPr>
        <sz val="10"/>
        <rFont val="Times New Roman"/>
        <family val="1"/>
      </rPr>
      <t xml:space="preserve"> Yardımcı Hizmet Birimi</t>
    </r>
  </si>
  <si>
    <t>İÇİNDEKİLER</t>
  </si>
  <si>
    <t>Sayfa No</t>
  </si>
  <si>
    <t>Tablo No</t>
  </si>
  <si>
    <t>Organizasyon Şeması</t>
  </si>
  <si>
    <t xml:space="preserve">Taşra Teşkilatı </t>
  </si>
  <si>
    <t>(1)</t>
  </si>
  <si>
    <t>(2)</t>
  </si>
  <si>
    <t>(3)</t>
  </si>
  <si>
    <t>(4)</t>
  </si>
  <si>
    <t>(5)</t>
  </si>
  <si>
    <t>Sosyal Sigortalar Kurumu  Bütçesi</t>
  </si>
  <si>
    <t>(6),(7)</t>
  </si>
  <si>
    <t>(8)</t>
  </si>
  <si>
    <t>(9)</t>
  </si>
  <si>
    <t>(10)</t>
  </si>
  <si>
    <t>(11)</t>
  </si>
  <si>
    <t>SSK Kapsamındaki Nüfus / Aktif- Pasif Oranı</t>
  </si>
  <si>
    <t>Asgari Ücret ve Tarım Sigortalıları</t>
  </si>
  <si>
    <t>İdari Para Cezaları</t>
  </si>
  <si>
    <t>Kurumumuzdan Aylık ve Gelir Alanların Sayısı</t>
  </si>
  <si>
    <t>(25)</t>
  </si>
  <si>
    <t xml:space="preserve">2005 ve 2006 Yılları Sektörler İtibariyle Yatırım Programı </t>
  </si>
  <si>
    <r>
      <t xml:space="preserve">SSK,Bağ-Kur ve Emekli Sandığına Yapılan Bütçe Transferleri </t>
    </r>
    <r>
      <rPr>
        <i/>
        <sz val="10"/>
        <color indexed="8"/>
        <rFont val="Times New Roman"/>
        <family val="1"/>
      </rPr>
      <t>(Milyar TL.)</t>
    </r>
  </si>
  <si>
    <r>
      <t>Yıllar İtibariyle Prim Gelirleri, Emekli Ödemeleri ve Hazine Yardımları</t>
    </r>
    <r>
      <rPr>
        <i/>
        <sz val="10"/>
        <color indexed="8"/>
        <rFont val="Times New Roman"/>
        <family val="1"/>
      </rPr>
      <t xml:space="preserve"> (Trilyon TL.)</t>
    </r>
  </si>
  <si>
    <r>
      <t xml:space="preserve">Aylar İtibariyle2005-2006 Yıllarına Ait Prim Gelirleri ve Emekli Ödemeleri </t>
    </r>
    <r>
      <rPr>
        <i/>
        <sz val="10"/>
        <color indexed="8"/>
        <rFont val="Times New Roman"/>
        <family val="1"/>
      </rPr>
      <t xml:space="preserve"> (Milyar TL.)</t>
    </r>
  </si>
  <si>
    <r>
      <t xml:space="preserve">Aylar İtibariyle 2005 Yılında Hazineden Yapılan Transferler ve Prim Tahsilatları    </t>
    </r>
    <r>
      <rPr>
        <i/>
        <sz val="10"/>
        <color indexed="8"/>
        <rFont val="Times New Roman"/>
        <family val="1"/>
      </rPr>
      <t xml:space="preserve">                                                                    (Milyar TL.)(Milyon $)</t>
    </r>
  </si>
  <si>
    <r>
      <t xml:space="preserve">Aylar İtibariyle 2006 Yılında Hazineden Yapılan Transferler ve Prim Tahsilatları                                                            </t>
    </r>
    <r>
      <rPr>
        <i/>
        <sz val="10"/>
        <color indexed="8"/>
        <rFont val="Times New Roman"/>
        <family val="1"/>
      </rPr>
      <t xml:space="preserve">  (Milyar TL.)(Milyon $)</t>
    </r>
  </si>
  <si>
    <r>
      <t xml:space="preserve">Emekli Aylık Seviyeleri </t>
    </r>
    <r>
      <rPr>
        <i/>
        <sz val="10"/>
        <color indexed="8"/>
        <rFont val="Times New Roman"/>
        <family val="1"/>
      </rPr>
      <t xml:space="preserve"> (TL.) (SYZ Dahil)</t>
    </r>
  </si>
  <si>
    <r>
      <t xml:space="preserve">Prime Esas Kazanç Alt ve Üst Sınırları </t>
    </r>
    <r>
      <rPr>
        <i/>
        <sz val="10"/>
        <color indexed="8"/>
        <rFont val="Times New Roman"/>
        <family val="1"/>
      </rPr>
      <t xml:space="preserve"> (TL.)</t>
    </r>
  </si>
  <si>
    <r>
      <t xml:space="preserve">Kurumun Sağlık Giderleri </t>
    </r>
    <r>
      <rPr>
        <i/>
        <sz val="10"/>
        <color indexed="8"/>
        <rFont val="Times New Roman"/>
        <family val="1"/>
      </rPr>
      <t xml:space="preserve"> (Milyar TL.)</t>
    </r>
  </si>
  <si>
    <r>
      <t xml:space="preserve">2004 Yılı Sektörler İtibariyle Yatırım Harcamaları  </t>
    </r>
    <r>
      <rPr>
        <i/>
        <sz val="10"/>
        <color indexed="8"/>
        <rFont val="Times New Roman"/>
        <family val="1"/>
      </rPr>
      <t>(Aralık Sonu)</t>
    </r>
    <r>
      <rPr>
        <b/>
        <sz val="10"/>
        <color indexed="8"/>
        <rFont val="Times New Roman"/>
        <family val="1"/>
      </rPr>
      <t xml:space="preserve"> </t>
    </r>
  </si>
  <si>
    <r>
      <t xml:space="preserve">Kurumun Ödemeler Dengesinin Yıllar İtibariyle Değişimi </t>
    </r>
    <r>
      <rPr>
        <i/>
        <sz val="10"/>
        <color indexed="8"/>
        <rFont val="Times New Roman"/>
        <family val="1"/>
      </rPr>
      <t>(Tahsilat ve Harcama Yönünden) (Milyar TL.)</t>
    </r>
  </si>
  <si>
    <t>Tedavi Faaliyetleri</t>
  </si>
  <si>
    <r>
      <t xml:space="preserve">Sağlık Harcamaları </t>
    </r>
    <r>
      <rPr>
        <i/>
        <sz val="10"/>
        <color indexed="8"/>
        <rFont val="Times New Roman"/>
        <family val="1"/>
      </rPr>
      <t xml:space="preserve"> (Milyar TL.) </t>
    </r>
  </si>
  <si>
    <t>(12),(13)</t>
  </si>
  <si>
    <t>(14),(15)</t>
  </si>
  <si>
    <t>(16)</t>
  </si>
  <si>
    <t>(17),(18)</t>
  </si>
  <si>
    <t>(19)</t>
  </si>
  <si>
    <t>(20)</t>
  </si>
  <si>
    <t>(21),(22)</t>
  </si>
  <si>
    <t>(23)</t>
  </si>
  <si>
    <t>(24)</t>
  </si>
  <si>
    <t>(26)</t>
  </si>
  <si>
    <r>
      <t xml:space="preserve">PRİM GELİRLERİ                               </t>
    </r>
    <r>
      <rPr>
        <i/>
        <sz val="10"/>
        <rFont val="Times New Roman"/>
        <family val="1"/>
      </rPr>
      <t>( Tahsilat )                                 (  Premium Incomes )</t>
    </r>
  </si>
  <si>
    <r>
      <t xml:space="preserve">SAĞLIK TESİSİ GELİRLERİ                                                         </t>
    </r>
    <r>
      <rPr>
        <i/>
        <sz val="10"/>
        <rFont val="Times New Roman"/>
        <family val="1"/>
      </rPr>
      <t>( Health Facilities Revenue )</t>
    </r>
  </si>
  <si>
    <r>
      <t xml:space="preserve">SİGORTA GİDERLERİ       </t>
    </r>
    <r>
      <rPr>
        <i/>
        <sz val="10"/>
        <rFont val="Times New Roman"/>
        <family val="1"/>
      </rPr>
      <t xml:space="preserve">                                                      (  Insurance Expenditures )</t>
    </r>
  </si>
  <si>
    <r>
      <t>ORANI</t>
    </r>
    <r>
      <rPr>
        <i/>
        <sz val="10"/>
        <rFont val="Times New Roman"/>
        <family val="1"/>
      </rPr>
      <t xml:space="preserve">                    ( Rate ) </t>
    </r>
    <r>
      <rPr>
        <sz val="10"/>
        <rFont val="Times New Roman"/>
        <family val="1"/>
      </rPr>
      <t>%</t>
    </r>
  </si>
  <si>
    <r>
      <t>ORANI</t>
    </r>
    <r>
      <rPr>
        <i/>
        <sz val="10"/>
        <rFont val="Times New Roman"/>
        <family val="1"/>
      </rPr>
      <t xml:space="preserve">                                 ( Rate ) </t>
    </r>
    <r>
      <rPr>
        <sz val="10"/>
        <rFont val="Times New Roman"/>
        <family val="1"/>
      </rPr>
      <t>%</t>
    </r>
  </si>
  <si>
    <r>
      <t xml:space="preserve">SAĞLIK  GİDERLERİ                     </t>
    </r>
    <r>
      <rPr>
        <i/>
        <sz val="10"/>
        <rFont val="Times New Roman"/>
        <family val="1"/>
      </rPr>
      <t>( Health Expenditures  )</t>
    </r>
  </si>
  <si>
    <r>
      <t>DİĞER GİDERLER</t>
    </r>
    <r>
      <rPr>
        <i/>
        <sz val="10"/>
        <rFont val="Times New Roman"/>
        <family val="1"/>
      </rPr>
      <t xml:space="preserve">                               ( Other Expenditures )</t>
    </r>
  </si>
  <si>
    <r>
      <t xml:space="preserve">YATIRIMLAR                                     </t>
    </r>
    <r>
      <rPr>
        <i/>
        <sz val="10"/>
        <rFont val="Times New Roman"/>
        <family val="1"/>
      </rPr>
      <t>( Investments )</t>
    </r>
  </si>
  <si>
    <r>
      <t xml:space="preserve">TAŞRA TEŞKİLATI </t>
    </r>
    <r>
      <rPr>
        <i/>
        <sz val="14"/>
        <color indexed="12"/>
        <rFont val="Times New Roman"/>
        <family val="1"/>
      </rPr>
      <t>(Provincial Organizations)</t>
    </r>
  </si>
  <si>
    <r>
      <t>PERSONEL DAĞILIMI</t>
    </r>
    <r>
      <rPr>
        <sz val="14"/>
        <color indexed="12"/>
        <rFont val="Times New Roman"/>
        <family val="1"/>
      </rPr>
      <t xml:space="preserve"> </t>
    </r>
    <r>
      <rPr>
        <i/>
        <sz val="12"/>
        <color indexed="12"/>
        <rFont val="Times New Roman"/>
        <family val="1"/>
      </rPr>
      <t>( Distributions of Personnel )</t>
    </r>
  </si>
  <si>
    <r>
      <t xml:space="preserve">TAŞRA TEŞKİLATI PERSONEL DURUMU </t>
    </r>
    <r>
      <rPr>
        <i/>
        <sz val="12"/>
        <color indexed="12"/>
        <rFont val="Times New Roman"/>
        <family val="1"/>
      </rPr>
      <t>( Personnel Sitution Of Provincial Organization)</t>
    </r>
  </si>
  <si>
    <r>
      <t xml:space="preserve">İLAÇ VE TIBBİ MALZEME SANAYİİ MÜESSESESİ PERSONEL DURUMU </t>
    </r>
    <r>
      <rPr>
        <sz val="12"/>
        <color indexed="12"/>
        <rFont val="Times New Roman"/>
        <family val="1"/>
      </rPr>
      <t xml:space="preserve">                             </t>
    </r>
    <r>
      <rPr>
        <i/>
        <sz val="12"/>
        <color indexed="12"/>
        <rFont val="Times New Roman"/>
        <family val="1"/>
      </rPr>
      <t xml:space="preserve">( Personnel Situation Of Institution Of  Medicine And Medical Equipment Industries ) </t>
    </r>
  </si>
  <si>
    <r>
      <t>MALİ DURUM</t>
    </r>
    <r>
      <rPr>
        <sz val="12"/>
        <color indexed="12"/>
        <rFont val="Times New Roman"/>
        <family val="1"/>
      </rPr>
      <t xml:space="preserve"> </t>
    </r>
    <r>
      <rPr>
        <i/>
        <sz val="12"/>
        <color indexed="12"/>
        <rFont val="Times New Roman"/>
        <family val="1"/>
      </rPr>
      <t>( Financial Situation )</t>
    </r>
  </si>
  <si>
    <r>
      <t xml:space="preserve">SSK, BAĞ-KUR VE EMEKLİ SANDIĞINA  YAPILAN BÜTÇE TRANSFERLERİ                                                          </t>
    </r>
    <r>
      <rPr>
        <i/>
        <sz val="11"/>
        <color indexed="12"/>
        <rFont val="Times New Roman"/>
        <family val="1"/>
      </rPr>
      <t>(Milyar TL.)</t>
    </r>
  </si>
  <si>
    <r>
      <t xml:space="preserve">                          PRİM GELİRLERİ VE EMEKLİ ÖDEMELERİ </t>
    </r>
    <r>
      <rPr>
        <i/>
        <sz val="12"/>
        <color indexed="12"/>
        <rFont val="Times New Roman"/>
        <family val="1"/>
      </rPr>
      <t>( Milyar TL.)</t>
    </r>
  </si>
  <si>
    <r>
      <t xml:space="preserve">SİGORTA HİZMETLERİ </t>
    </r>
    <r>
      <rPr>
        <i/>
        <sz val="12"/>
        <color indexed="12"/>
        <rFont val="Times New Roman"/>
        <family val="1"/>
      </rPr>
      <t>(Insurance Services)</t>
    </r>
  </si>
  <si>
    <r>
      <t xml:space="preserve">TARIM SİGORTALILARI </t>
    </r>
    <r>
      <rPr>
        <i/>
        <sz val="12"/>
        <color indexed="12"/>
        <rFont val="Times New Roman"/>
        <family val="1"/>
      </rPr>
      <t>(Insured Employed in Agricultural Sector)</t>
    </r>
  </si>
  <si>
    <r>
      <t xml:space="preserve">İDARİ PARA CEZALARI </t>
    </r>
    <r>
      <rPr>
        <i/>
        <sz val="12"/>
        <color indexed="12"/>
        <rFont val="Times New Roman"/>
        <family val="1"/>
      </rPr>
      <t>(Administrative Fine)</t>
    </r>
  </si>
  <si>
    <r>
      <t xml:space="preserve">PRİME ESAS KAZANÇ ALT VE ÜST SINIRLARI İLE ASGARİ ÜCRET TUTARLARI </t>
    </r>
    <r>
      <rPr>
        <i/>
        <sz val="12"/>
        <color indexed="12"/>
        <rFont val="Times New Roman"/>
        <family val="1"/>
      </rPr>
      <t>(TL.)               (Upper and Lower Levels Of Insurable Earnings,Amount of the monthly (daily) minimum wage)</t>
    </r>
  </si>
  <si>
    <r>
      <t xml:space="preserve">KURUMUMUZDAN AYLIK VE GELİR ALANLARIN SAYISI </t>
    </r>
    <r>
      <rPr>
        <i/>
        <sz val="12"/>
        <color indexed="12"/>
        <rFont val="Times New Roman"/>
        <family val="1"/>
      </rPr>
      <t>( Number Of Pensioners Covered by Sll )</t>
    </r>
  </si>
  <si>
    <r>
      <t xml:space="preserve">EMEKLİ AYLIK SEVİYELERİ </t>
    </r>
    <r>
      <rPr>
        <i/>
        <sz val="12"/>
        <color indexed="12"/>
        <rFont val="Times New Roman"/>
        <family val="1"/>
      </rPr>
      <t>(TL.) (Level Of Pensions)</t>
    </r>
  </si>
  <si>
    <r>
      <t xml:space="preserve">TEDAVİ FAALİYETLERİ </t>
    </r>
    <r>
      <rPr>
        <i/>
        <sz val="12"/>
        <color indexed="12"/>
        <rFont val="Times New Roman"/>
        <family val="1"/>
      </rPr>
      <t>(Medical Treatment Activity)</t>
    </r>
  </si>
  <si>
    <r>
      <t xml:space="preserve">KURUMUN ÖDEMELER DENGESİNİN YILLAR İTİBARİYLE GELİŞİMİ </t>
    </r>
    <r>
      <rPr>
        <i/>
        <sz val="10"/>
        <color indexed="12"/>
        <rFont val="Times New Roman"/>
        <family val="1"/>
      </rPr>
      <t>(Changes in Balance of Payments of SII by Year)</t>
    </r>
  </si>
  <si>
    <r>
      <t xml:space="preserve">YILLAR </t>
    </r>
    <r>
      <rPr>
        <i/>
        <sz val="9"/>
        <rFont val="Times New Roman"/>
        <family val="1"/>
      </rPr>
      <t>(Years)</t>
    </r>
  </si>
  <si>
    <r>
      <t xml:space="preserve">GELİRLER TOPLAMI </t>
    </r>
    <r>
      <rPr>
        <i/>
        <sz val="9"/>
        <rFont val="Times New Roman"/>
        <family val="1"/>
      </rPr>
      <t>(Total of Revenues)</t>
    </r>
  </si>
  <si>
    <r>
      <t xml:space="preserve">GİDERLER TOPLAMI </t>
    </r>
    <r>
      <rPr>
        <i/>
        <sz val="9"/>
        <rFont val="Times New Roman"/>
        <family val="1"/>
      </rPr>
      <t>(Total of Enpenditures)</t>
    </r>
  </si>
  <si>
    <r>
      <t xml:space="preserve">FARK </t>
    </r>
    <r>
      <rPr>
        <i/>
        <sz val="9"/>
        <rFont val="Times New Roman"/>
        <family val="1"/>
      </rPr>
      <t>(Deficit)</t>
    </r>
  </si>
  <si>
    <r>
      <t>(*)</t>
    </r>
    <r>
      <rPr>
        <sz val="8"/>
        <rFont val="Times New Roman"/>
        <family val="1"/>
      </rPr>
      <t>1989-1998 yılları gelir gider arasındaki fark, yıllık ortalama dolar kuru üzerinden  hesaplanırken,1999-2003 yılları arası her ayın sonundaki döviz alış kuru üzerinden hesaplanan birikimli rakamlardır.</t>
    </r>
  </si>
  <si>
    <r>
      <t xml:space="preserve">(**)    </t>
    </r>
    <r>
      <rPr>
        <sz val="8"/>
        <rFont val="Times New Roman"/>
        <family val="1"/>
      </rPr>
      <t>2004 yılı 12 aylık fiili  nakit akım tablosu rakamları olup bu rakamlar içerisinde emeklilere ödenen , ocak ve temmuz aylarında ki %10 luk artışlar dahildir</t>
    </r>
  </si>
  <si>
    <t>(*) 2003 yılında hazineden alınan toplam para 4.808.617 Milyar TL. olup, bundan 1.643.041 Milyar TL. 'si sosyal destek ödemesi, 4325 sayılı yasa gereğince mahsup yapılan 7.692,5 Milyar TL. düşülürse 3.157.883,5 Milyar TL.  SSK adına yapılan hazine yardımını buluruz. Bu yardımdan 300.000 Milyar TL. 2002 yılından devreden ilaç borcundan 7.692,5 Milyar TL. mahsup edildikten sonra geriye kalan 292.307,5 Milyar TL. ilaç borcunu düşersek asıl bütçe açığımız olan 2.865.576 Milyar TL.' yi, 2004 yılında hazineden alınan toplam para 5.757.000 Milyar TL. olup, bundan Tütünbank'ın kuruma devri nedeniyle oluşan ödemeler açığı tutarı olarak 592.153 Milyar TL. mahsup edildikten sonra 5.164.847 Milyar TL.,SSK adına yapılan hazine yardımını buluruz.</t>
  </si>
  <si>
    <t xml:space="preserve">SİGORTALI BAŞINA AYLIK PRİM TUTARI   </t>
  </si>
  <si>
    <t>(28),(29)</t>
  </si>
  <si>
    <t>(27)</t>
  </si>
  <si>
    <r>
      <t>NOT :</t>
    </r>
    <r>
      <rPr>
        <sz val="12"/>
        <rFont val="Times New Roman"/>
        <family val="1"/>
      </rPr>
      <t xml:space="preserve"> İlaç ve Tıbbi Malzeme Sanayii Müessesesinin Faliyetlerinin azalması nedeniyle çalışan işçi personelimizin bir kısmı İstanbul Sağlık İşleri İl Müdürlüğüne diğer kısmı ise  İstanbul'daki Sigorta İl Müdürlüklerine atamaları yapılmıştır.</t>
    </r>
  </si>
  <si>
    <r>
      <t xml:space="preserve">2- ÇALIŞMA RAPORU KİTABIMIZDA YER ALAN EMEKLİ ÖDEMELERİ TUTARLARI SSK ADINA YAPILAN FİİLİ ÖDEMELERİ , NAKİT AKIM TABLOSUNDA Kİ EMEKLİ ÖDEMELERİ İSE MÜŞTEREK EMEKLİLİKTEN </t>
    </r>
    <r>
      <rPr>
        <b/>
        <i/>
        <sz val="8"/>
        <rFont val="Times New Roman"/>
        <family val="1"/>
      </rPr>
      <t>(BAĞ-KUR ,EMEKLİ SANDIĞI,EK 20.MD.SANDIKLARI)</t>
    </r>
    <r>
      <rPr>
        <b/>
        <sz val="8"/>
        <rFont val="Times New Roman"/>
        <family val="1"/>
      </rPr>
      <t xml:space="preserve"> YAPILAN ÖDEMELERİ DE KAPSADIĞINDAN FARKLILIK GÖSTERMEKTİR.</t>
    </r>
  </si>
  <si>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yapılmıştır. </t>
  </si>
  <si>
    <r>
      <t xml:space="preserve">(***)  </t>
    </r>
    <r>
      <rPr>
        <sz val="8"/>
        <rFont val="Times New Roman"/>
        <family val="1"/>
      </rPr>
      <t>2005 yılı ise 12 aylık fiili rakamlardır.2005 yılı gelir-gider farkı  7.507.267 Milyar TL.olması gerekirken , içinden 95.600 Milyar TL.. aralık ayından ocak ayına nakit devri çıkarılmıştır</t>
    </r>
  </si>
  <si>
    <t>(**)  2005 yılı ise 12 aylık fiili rakamlardır.2005 yılı hazineden alınan toplam para  7.507.267Milyar TL.dir.,  Bu paranın içinde 95.600 Milyar TL.. aralık ayından ocak ayına nakit devri dahil olup bu miktar mahsup edildikten sonra 7.411.667 Milyar TL.olan hazine yardımını buluruz.</t>
  </si>
  <si>
    <t>SAĞLIK BAKANLIĞI İLE DİĞER SAĞLIK TESİSLERİ ÖDEMELERİ(***)</t>
  </si>
  <si>
    <t xml:space="preserve"> SAĞLIK BAKANLIĞI İLE DİĞER SAĞLIK TESİSLERİ ÖDEMELERİNİN TOPLAM İÇİNDEKİ ORANI(%)</t>
  </si>
  <si>
    <t>BAŞKANLIĞI</t>
  </si>
  <si>
    <t xml:space="preserve">(*) - Kurumumuz 2006 Yılı Yatırm Programının uygulanması, Koordinasyonu ve izlenmesine Dair"2005/9486 sayılı Bakanlar Kurulu Kararının eki olarak 7 Ocak 2006 gün ve 26046 sayılı Resmi Gazetede yayımlanarak yürürlüğe girmiştir. </t>
  </si>
  <si>
    <t>Tablo 25 - Sağlık Ödemeleri</t>
  </si>
  <si>
    <t>TOPLAM SAĞLIK ÖDEMESİ(*)</t>
  </si>
  <si>
    <r>
      <t xml:space="preserve">SAĞLIK ÖDEMELERİ </t>
    </r>
    <r>
      <rPr>
        <i/>
        <sz val="11"/>
        <color indexed="12"/>
        <rFont val="Times New Roman"/>
        <family val="1"/>
      </rPr>
      <t>(MİLYAR TL) (Payment of Health)</t>
    </r>
  </si>
  <si>
    <t>İLAÇ ÖDEMESİ</t>
  </si>
  <si>
    <t>İLAÇ ÖDEMESİ ARTIŞ ORANI (%)</t>
  </si>
  <si>
    <t>SAĞLIK ÖDEMELERİ İÇİNDEKİ ORANI (%)</t>
  </si>
  <si>
    <t>İLAÇ ÖDEMELERİ</t>
  </si>
  <si>
    <t>(*)İlaç ödemeleri dahildir.</t>
  </si>
  <si>
    <t>DİĞER SAĞLIK  ÖDEMELERİ</t>
  </si>
  <si>
    <t>DİĞER SAĞLIK  ÖDEMELERİNİN TOPLAM İÇİNDEKİ ORANI(%)</t>
  </si>
  <si>
    <r>
      <t xml:space="preserve">KURUMUN SAĞLIK ÖDEMELERİ </t>
    </r>
    <r>
      <rPr>
        <i/>
        <sz val="11"/>
        <color indexed="12"/>
        <rFont val="Times New Roman"/>
        <family val="1"/>
      </rPr>
      <t>(MİLYAR TL) (Health Payment of SII)</t>
    </r>
  </si>
  <si>
    <t>(***)İlaç ödemeleri dahildir.</t>
  </si>
  <si>
    <t>NOT:2-) Diğer sağlık ödemeleri içerisinde Sağlık İl Müdürlükleri personel ve idame gideri ödemeleri dahildir.</t>
  </si>
  <si>
    <t>Tablo 24 - Kurumun Sağlık Ödemeleri</t>
  </si>
  <si>
    <t>2006 OCAK -HAZİRAN(**) (YTL.)</t>
  </si>
  <si>
    <t>KURUMUN SAĞLIK TESİSLERİ ÖDEMELERİ</t>
  </si>
  <si>
    <t>KURUM SAĞLIK TESİSLERİ ÖDEMELERİNİN TOPLAM İÇİNDEKİ ORANI(%)</t>
  </si>
  <si>
    <r>
      <t xml:space="preserve">30,3    </t>
    </r>
    <r>
      <rPr>
        <b/>
        <sz val="14"/>
        <rFont val="Times New Roman"/>
        <family val="1"/>
      </rPr>
      <t xml:space="preserve"> Katrilyon TL</t>
    </r>
  </si>
  <si>
    <t>(*) 2000 yılı öncesi emekli olan kişilerin asgari ve azami aylıkları katsayı ve gösterge sistemine göre belirlenirken ,2000 yılından sonra asgari  aylıklarımız kanuna göre güncellenmiş  olup azami aylıklarımız ise karma sisteme göre bağlanan azami aylıklarımızdır.</t>
  </si>
  <si>
    <t xml:space="preserve"> Mart ve daha önce yayımlanan aylık istatistik bültenlerindeki azami aylıklar 1999 yılı azami aylığının kanuna göre güncellenmiş aylığı göstermektedir.</t>
  </si>
  <si>
    <t xml:space="preserve">ARALIK </t>
  </si>
  <si>
    <t>AZAMİ AYLIK (*)</t>
  </si>
  <si>
    <t>Asgari Aylık Artış Oranı(%)</t>
  </si>
  <si>
    <t>Asgari Aylık Artış Oranı</t>
  </si>
  <si>
    <t xml:space="preserve">TÜFE  </t>
  </si>
  <si>
    <t>SAYILARININ İLLERE  GÖRE DAĞILIMI</t>
  </si>
  <si>
    <t>İL KODU</t>
  </si>
  <si>
    <t>01</t>
  </si>
  <si>
    <t xml:space="preserve">  ADANA</t>
  </si>
  <si>
    <t>02</t>
  </si>
  <si>
    <t xml:space="preserve">  ADIYAMAN</t>
  </si>
  <si>
    <t>03</t>
  </si>
  <si>
    <t xml:space="preserve">  AFYON</t>
  </si>
  <si>
    <t>04</t>
  </si>
  <si>
    <t xml:space="preserve">  AĞRI </t>
  </si>
  <si>
    <t>05</t>
  </si>
  <si>
    <t xml:space="preserve">  AMASYA</t>
  </si>
  <si>
    <t>06</t>
  </si>
  <si>
    <t xml:space="preserve">  ANKARA</t>
  </si>
  <si>
    <t>07</t>
  </si>
  <si>
    <t xml:space="preserve">  ANTALYA</t>
  </si>
  <si>
    <t>08</t>
  </si>
  <si>
    <t xml:space="preserve">  ARTVİN</t>
  </si>
  <si>
    <t>09</t>
  </si>
  <si>
    <t xml:space="preserve">  AYDIN</t>
  </si>
  <si>
    <t xml:space="preserve">  BALIKESİR</t>
  </si>
  <si>
    <t xml:space="preserve">  BİLECİK</t>
  </si>
  <si>
    <t xml:space="preserve">  BİNGÖL</t>
  </si>
  <si>
    <t xml:space="preserve">  BİTLİS</t>
  </si>
  <si>
    <t xml:space="preserve">  BOLU</t>
  </si>
  <si>
    <t xml:space="preserve">  BURDUR</t>
  </si>
  <si>
    <t xml:space="preserve">  BURSA</t>
  </si>
  <si>
    <t xml:space="preserve">  ÇANAKKALE</t>
  </si>
  <si>
    <t xml:space="preserve">  ÇANKIRI</t>
  </si>
  <si>
    <t xml:space="preserve">  ÇORUM</t>
  </si>
  <si>
    <t xml:space="preserve">  DENİZLİ </t>
  </si>
  <si>
    <t xml:space="preserve">  DİYARBAKIR</t>
  </si>
  <si>
    <t xml:space="preserve">  EDİRNE</t>
  </si>
  <si>
    <t xml:space="preserve">  ELAZIĞ</t>
  </si>
  <si>
    <t xml:space="preserve">  ERZİNCAN</t>
  </si>
  <si>
    <t xml:space="preserve">  ERZURUM</t>
  </si>
  <si>
    <t xml:space="preserve">  ESKİŞEHİR</t>
  </si>
  <si>
    <t xml:space="preserve">  GAZİANTEP</t>
  </si>
  <si>
    <t xml:space="preserve">  GİRESUN</t>
  </si>
  <si>
    <t xml:space="preserve">  GÜMÜŞHANE</t>
  </si>
  <si>
    <t xml:space="preserve">  HAKKARİ</t>
  </si>
  <si>
    <t xml:space="preserve">  HATAY</t>
  </si>
  <si>
    <t xml:space="preserve">  ISPARTA</t>
  </si>
  <si>
    <t xml:space="preserve">  İSTANBUL</t>
  </si>
  <si>
    <t xml:space="preserve">  İZMİR</t>
  </si>
  <si>
    <t xml:space="preserve">  KARS</t>
  </si>
  <si>
    <t xml:space="preserve">  KASTAMONU</t>
  </si>
  <si>
    <t xml:space="preserve">  KAYSERİ</t>
  </si>
  <si>
    <t xml:space="preserve">  KIRKLARELİ</t>
  </si>
  <si>
    <t xml:space="preserve">  KIRŞEHİR</t>
  </si>
  <si>
    <t xml:space="preserve">  KOCAELİ</t>
  </si>
  <si>
    <t xml:space="preserve">  KONYA</t>
  </si>
  <si>
    <t xml:space="preserve">  KÜTAHYA</t>
  </si>
  <si>
    <t xml:space="preserve">  MALATYA</t>
  </si>
  <si>
    <t xml:space="preserve">  MANİSA</t>
  </si>
  <si>
    <t xml:space="preserve"> K.MARAŞ</t>
  </si>
  <si>
    <t xml:space="preserve"> MARDİN</t>
  </si>
  <si>
    <t xml:space="preserve"> MUĞLA</t>
  </si>
  <si>
    <t xml:space="preserve"> MUŞ</t>
  </si>
  <si>
    <t xml:space="preserve"> NEVŞEHİR</t>
  </si>
  <si>
    <t xml:space="preserve"> NİĞDE</t>
  </si>
  <si>
    <t xml:space="preserve"> ORDU</t>
  </si>
  <si>
    <t xml:space="preserve"> RİZE</t>
  </si>
  <si>
    <t xml:space="preserve"> SAKARYA</t>
  </si>
  <si>
    <t xml:space="preserve"> SAMSUN</t>
  </si>
  <si>
    <t xml:space="preserve"> SİİRT</t>
  </si>
  <si>
    <t xml:space="preserve"> SİNOP</t>
  </si>
  <si>
    <t xml:space="preserve"> SİVAS</t>
  </si>
  <si>
    <t xml:space="preserve"> TEKİRDAĞ</t>
  </si>
  <si>
    <t xml:space="preserve"> TOKAT</t>
  </si>
  <si>
    <t xml:space="preserve"> TRABZON</t>
  </si>
  <si>
    <t xml:space="preserve"> TUNCELİ</t>
  </si>
  <si>
    <t xml:space="preserve"> Ş.URFA</t>
  </si>
  <si>
    <t xml:space="preserve"> UŞAK</t>
  </si>
  <si>
    <t xml:space="preserve"> VAN</t>
  </si>
  <si>
    <t xml:space="preserve"> YOZGAT</t>
  </si>
  <si>
    <t xml:space="preserve"> ZONGULDAK</t>
  </si>
  <si>
    <t xml:space="preserve"> AKSARAY</t>
  </si>
  <si>
    <t xml:space="preserve"> BAYBURT</t>
  </si>
  <si>
    <t xml:space="preserve"> KARAMAN</t>
  </si>
  <si>
    <t xml:space="preserve"> KIRIKKALE</t>
  </si>
  <si>
    <t xml:space="preserve"> BATMAN</t>
  </si>
  <si>
    <t xml:space="preserve"> ŞIRNAK</t>
  </si>
  <si>
    <t xml:space="preserve"> BARTIN</t>
  </si>
  <si>
    <t xml:space="preserve"> ARDAHAN</t>
  </si>
  <si>
    <t xml:space="preserve"> IĞDIR</t>
  </si>
  <si>
    <t xml:space="preserve"> YALOVA</t>
  </si>
  <si>
    <t xml:space="preserve"> KARABÜK</t>
  </si>
  <si>
    <t xml:space="preserve"> KİLİS</t>
  </si>
  <si>
    <t>OSMANİYE</t>
  </si>
  <si>
    <t>DÜZCE</t>
  </si>
  <si>
    <t>KOD NO</t>
  </si>
  <si>
    <t>ZORUNLU</t>
  </si>
  <si>
    <t xml:space="preserve">ORTALAMA </t>
  </si>
  <si>
    <t xml:space="preserve">FAALİYET GRUPLARI </t>
  </si>
  <si>
    <t>İŞYERİ SAYISI</t>
  </si>
  <si>
    <t>SİGORTALI SAYISI</t>
  </si>
  <si>
    <t>GÜNLÜK KAZANÇ</t>
  </si>
  <si>
    <t xml:space="preserve">  Branch of activities </t>
  </si>
  <si>
    <t>Number of</t>
  </si>
  <si>
    <t>Number of compulsory</t>
  </si>
  <si>
    <t xml:space="preserve"> ( TL. )</t>
  </si>
  <si>
    <t>work places</t>
  </si>
  <si>
    <t>insured person</t>
  </si>
  <si>
    <t>Average daily earning</t>
  </si>
  <si>
    <t xml:space="preserve"> TARIM VE HAYVANCILIK</t>
  </si>
  <si>
    <t xml:space="preserve">  </t>
  </si>
  <si>
    <t xml:space="preserve"> ORMANCILIK VE TOMRUKÇULUK</t>
  </si>
  <si>
    <t>BALIKÇILIK</t>
  </si>
  <si>
    <t xml:space="preserve"> KÖMÜR MADENCİLİĞİ</t>
  </si>
  <si>
    <t>KÖMÜRDEN GAYRİ MADENLER</t>
  </si>
  <si>
    <t xml:space="preserve"> HAM PETROL VE TABİ GAZ</t>
  </si>
  <si>
    <t xml:space="preserve"> TAŞ,KİL VE KUM OCAKLARI</t>
  </si>
  <si>
    <t xml:space="preserve"> DİĞER MADENLERİN İSTİHRACI</t>
  </si>
  <si>
    <t xml:space="preserve"> GIDA MADDELERİ SANAYİ</t>
  </si>
  <si>
    <t xml:space="preserve"> İÇKİ SANAYİİ</t>
  </si>
  <si>
    <t xml:space="preserve"> TÜTÜN SANAYİİ</t>
  </si>
  <si>
    <t xml:space="preserve"> DOKUMA SANAYİİ</t>
  </si>
  <si>
    <t>GİY.VE HAZ.DOK.EŞYA SANAYİİ</t>
  </si>
  <si>
    <t xml:space="preserve"> AĞAÇ VE MANTAR MAMÜLLERİ</t>
  </si>
  <si>
    <t xml:space="preserve"> MOBİLYA VE TESİSAT İMALATI</t>
  </si>
  <si>
    <t xml:space="preserve"> KAĞIT VE KAĞIT.EŞYA İMALATI</t>
  </si>
  <si>
    <t xml:space="preserve"> MATBAACILIK VE NEŞ. SANAYİİ</t>
  </si>
  <si>
    <t xml:space="preserve"> DERİ VE DERİDEN EŞYA  SANAYİİ</t>
  </si>
  <si>
    <t>KAUÇUK SANAYİİ</t>
  </si>
  <si>
    <t xml:space="preserve"> ECZA VE KİMYEVİ MAD.SANAYİİ</t>
  </si>
  <si>
    <t xml:space="preserve"> PETROL VE KÖMÜR MÜŞ. SANAYİİ</t>
  </si>
  <si>
    <t xml:space="preserve"> TAŞ,TOPRAK,KİL,KUM VS. İMA.</t>
  </si>
  <si>
    <t xml:space="preserve"> METAL.MÜTEA.ESAS ENDÜS.</t>
  </si>
  <si>
    <t xml:space="preserve"> METALDEN EŞ.İM.(Makina Hariç)</t>
  </si>
  <si>
    <t xml:space="preserve"> MAKİNA İM. VE TAMİRATI</t>
  </si>
  <si>
    <t xml:space="preserve"> ELEKT.MAK.CİHAZ MALZ.İMA.</t>
  </si>
  <si>
    <t>MÜNAKALE CİHAZLARI</t>
  </si>
  <si>
    <t xml:space="preserve"> DİĞER MUH.EŞYA İMALATI</t>
  </si>
  <si>
    <t xml:space="preserve"> İNŞAAT</t>
  </si>
  <si>
    <t xml:space="preserve"> ELEKT.H.GAZI VE BUH.ISIT.</t>
  </si>
  <si>
    <t xml:space="preserve"> SU VE SIHHİ TESİSLER</t>
  </si>
  <si>
    <t xml:space="preserve"> TOPTAN VE PERAKENDE TİC.</t>
  </si>
  <si>
    <t xml:space="preserve"> BANKALAR VE MALİ MÜESS.</t>
  </si>
  <si>
    <t xml:space="preserve"> SİGORTALAR</t>
  </si>
  <si>
    <t xml:space="preserve"> GAYRİMENKUL İŞLERİ</t>
  </si>
  <si>
    <t xml:space="preserve"> NAKLİYAT</t>
  </si>
  <si>
    <t xml:space="preserve"> ARDİYE VE ANTREPOLAR</t>
  </si>
  <si>
    <t xml:space="preserve"> MUHABERE HİZMETLERİ</t>
  </si>
  <si>
    <t xml:space="preserve"> DEVLET HİZMETLERİ</t>
  </si>
  <si>
    <t xml:space="preserve"> AMME HİZMETLERİ</t>
  </si>
  <si>
    <t xml:space="preserve"> HUKUK,TİC.VE TEKNİK HİZ.</t>
  </si>
  <si>
    <t xml:space="preserve"> EĞLENCE HİZMETLERİ</t>
  </si>
  <si>
    <t xml:space="preserve"> ŞAHSİ HİZMETLER</t>
  </si>
  <si>
    <t xml:space="preserve"> GENEL TOPLAM</t>
  </si>
  <si>
    <t>(30)</t>
  </si>
  <si>
    <t>(31)</t>
  </si>
  <si>
    <t xml:space="preserve">  MERSİN</t>
  </si>
  <si>
    <r>
      <t xml:space="preserve">İŞYERİ SAYISI                              </t>
    </r>
    <r>
      <rPr>
        <b/>
        <sz val="9"/>
        <rFont val="Times New Roman"/>
        <family val="1"/>
      </rPr>
      <t xml:space="preserve">         </t>
    </r>
    <r>
      <rPr>
        <sz val="9"/>
        <rFont val="Times New Roman"/>
        <family val="1"/>
      </rPr>
      <t xml:space="preserve">N'of work place    </t>
    </r>
  </si>
  <si>
    <t xml:space="preserve">( Number of the work places and compulsory insured persons </t>
  </si>
  <si>
    <t xml:space="preserve"> to provinces in 2006 by april )</t>
  </si>
  <si>
    <t>Tablo 30 - İller İtibariyle İşyeri ve Sigortalı sayıları</t>
  </si>
  <si>
    <r>
      <t xml:space="preserve">İLLER                                                          </t>
    </r>
    <r>
      <rPr>
        <sz val="10"/>
        <rFont val="Times New Roman"/>
        <family val="1"/>
      </rPr>
      <t>Provinces</t>
    </r>
  </si>
  <si>
    <r>
      <t xml:space="preserve">İLLER                                                                     </t>
    </r>
    <r>
      <rPr>
        <sz val="10"/>
        <rFont val="Times New Roman"/>
        <family val="1"/>
      </rPr>
      <t>Provinces</t>
    </r>
  </si>
  <si>
    <r>
      <t xml:space="preserve">TOPLAM                                              </t>
    </r>
    <r>
      <rPr>
        <sz val="10"/>
        <rFont val="Times New Roman"/>
        <family val="1"/>
      </rPr>
      <t>Total</t>
    </r>
  </si>
  <si>
    <r>
      <t xml:space="preserve">   </t>
    </r>
    <r>
      <rPr>
        <b/>
        <sz val="9"/>
        <rFont val="Times New Roman"/>
        <family val="1"/>
      </rPr>
      <t xml:space="preserve"> DAİMİ</t>
    </r>
    <r>
      <rPr>
        <sz val="9"/>
        <rFont val="Times New Roman"/>
        <family val="1"/>
      </rPr>
      <t>-Permanent</t>
    </r>
  </si>
  <si>
    <r>
      <t xml:space="preserve">    </t>
    </r>
    <r>
      <rPr>
        <b/>
        <sz val="9"/>
        <rFont val="Times New Roman"/>
        <family val="1"/>
      </rPr>
      <t>MEVSİMLİK</t>
    </r>
    <r>
      <rPr>
        <sz val="9"/>
        <rFont val="Times New Roman"/>
        <family val="1"/>
      </rPr>
      <t>-Seasonal</t>
    </r>
  </si>
  <si>
    <r>
      <t xml:space="preserve">    </t>
    </r>
    <r>
      <rPr>
        <b/>
        <sz val="9"/>
        <rFont val="Times New Roman"/>
        <family val="1"/>
      </rPr>
      <t>KAMU</t>
    </r>
    <r>
      <rPr>
        <sz val="9"/>
        <rFont val="Times New Roman"/>
        <family val="1"/>
      </rPr>
      <t>-Public</t>
    </r>
  </si>
  <si>
    <r>
      <t xml:space="preserve">    </t>
    </r>
    <r>
      <rPr>
        <b/>
        <sz val="9"/>
        <rFont val="Times New Roman"/>
        <family val="1"/>
      </rPr>
      <t>ÖZEL</t>
    </r>
    <r>
      <rPr>
        <sz val="9"/>
        <rFont val="Times New Roman"/>
        <family val="1"/>
      </rPr>
      <t>-Private</t>
    </r>
  </si>
  <si>
    <r>
      <t xml:space="preserve">    </t>
    </r>
    <r>
      <rPr>
        <b/>
        <sz val="9"/>
        <rFont val="Times New Roman"/>
        <family val="1"/>
      </rPr>
      <t>ERKEK</t>
    </r>
    <r>
      <rPr>
        <sz val="9"/>
        <rFont val="Times New Roman"/>
        <family val="1"/>
      </rPr>
      <t>-Male</t>
    </r>
  </si>
  <si>
    <r>
      <t xml:space="preserve">    </t>
    </r>
    <r>
      <rPr>
        <b/>
        <sz val="9"/>
        <rFont val="Times New Roman"/>
        <family val="1"/>
      </rPr>
      <t>KADIN</t>
    </r>
    <r>
      <rPr>
        <sz val="9"/>
        <rFont val="Times New Roman"/>
        <family val="1"/>
      </rPr>
      <t>-Female</t>
    </r>
  </si>
  <si>
    <r>
      <t xml:space="preserve">   </t>
    </r>
    <r>
      <rPr>
        <b/>
        <sz val="9"/>
        <rFont val="Times New Roman"/>
        <family val="1"/>
      </rPr>
      <t xml:space="preserve"> TOPLAM</t>
    </r>
    <r>
      <rPr>
        <sz val="9"/>
        <rFont val="Times New Roman"/>
        <family val="1"/>
      </rPr>
      <t>-Total</t>
    </r>
  </si>
  <si>
    <t>( Number of the work places, compulsory insured persons and average daily insurable  earnings</t>
  </si>
  <si>
    <t>Tablo 31 - Faaliyet Gruplarında  İşyeri , Sigortalı sayıları ile Prime esas ortalama günlük kazançlar</t>
  </si>
  <si>
    <t>İşveren Borçları</t>
  </si>
  <si>
    <t>Başvuru Sayısı</t>
  </si>
  <si>
    <t xml:space="preserve">Borç Aslı </t>
  </si>
  <si>
    <t xml:space="preserve">Yapılandırılan Gecikme Zammı </t>
  </si>
  <si>
    <t>Borç Aslı</t>
  </si>
  <si>
    <t>Taksit Farkı</t>
  </si>
  <si>
    <t>DIBS+1</t>
  </si>
  <si>
    <t>İsteğe Bağlı</t>
  </si>
  <si>
    <t xml:space="preserve">Yeniden Yapılandırılan Borç Tutarı    YTL                                    </t>
  </si>
  <si>
    <t xml:space="preserve">Yapılandırma Tahsilatı  YTL                                                                                               </t>
  </si>
  <si>
    <t>Topluluk Sigortası</t>
  </si>
  <si>
    <t xml:space="preserve">Yapılandırma Tahsilatı ( YTL )                                                                                                                                                             (prim+ işsizlik+ ipc)        </t>
  </si>
  <si>
    <t>Yeniden Yapılandırılan Borç Tutarı  ( YTL )                                  (prim+ işsizlik+ ipc)</t>
  </si>
  <si>
    <t>Tablo 32 -Yeniden Yapılandırmada İşveren Borçları</t>
  </si>
  <si>
    <t>Tablo 33 -Yeniden Yapılandırmada İsteğe Bağlı Sigortası</t>
  </si>
  <si>
    <t>Tablo 34 -Yeniden Yapılandırmada Topluluk Sigortası</t>
  </si>
  <si>
    <t>(32),(33),(34)</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</si>
  <si>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yapılmaktadır. </t>
  </si>
  <si>
    <r>
      <t xml:space="preserve">ZORUNLU SİGORTALI SAYISI  (*)                            </t>
    </r>
    <r>
      <rPr>
        <sz val="10"/>
        <rFont val="Times New Roman"/>
        <family val="1"/>
      </rPr>
      <t xml:space="preserve">  N'of compulsory insured person</t>
    </r>
  </si>
  <si>
    <r>
      <t xml:space="preserve">AYLIK İSTATİSTİK BÜLTENİ     </t>
    </r>
    <r>
      <rPr>
        <i/>
        <sz val="26"/>
        <color indexed="18"/>
        <rFont val="Times New Roman"/>
        <family val="1"/>
      </rPr>
      <t xml:space="preserve">         </t>
    </r>
    <r>
      <rPr>
        <i/>
        <sz val="26"/>
        <color indexed="10"/>
        <rFont val="Times New Roman"/>
        <family val="1"/>
      </rPr>
      <t xml:space="preserve">  ( Haziran 2006 )</t>
    </r>
  </si>
  <si>
    <r>
      <t xml:space="preserve">Personel Dağılımı </t>
    </r>
    <r>
      <rPr>
        <i/>
        <sz val="10"/>
        <color indexed="8"/>
        <rFont val="Times New Roman"/>
        <family val="1"/>
      </rPr>
      <t>(30.06.2006 Tarihi İtibariyle)</t>
    </r>
  </si>
  <si>
    <r>
      <t xml:space="preserve">Merkez Teşkilatı Personel Durumu </t>
    </r>
    <r>
      <rPr>
        <i/>
        <sz val="10"/>
        <color indexed="8"/>
        <rFont val="Times New Roman"/>
        <family val="1"/>
      </rPr>
      <t xml:space="preserve"> ( 30.06.2006 Tarihi İtibariyle )</t>
    </r>
  </si>
  <si>
    <r>
      <t>Taşra Teşkilatı Personel Durumu</t>
    </r>
    <r>
      <rPr>
        <i/>
        <sz val="10"/>
        <color indexed="8"/>
        <rFont val="Times New Roman"/>
        <family val="1"/>
      </rPr>
      <t xml:space="preserve"> ( 30.06. 2006 Tarihi İtibariyle )</t>
    </r>
  </si>
  <si>
    <r>
      <t xml:space="preserve">İlaç ve Tıbbi Malzeme Sanayii Müessesesi Personel Durumu                                                                                            </t>
    </r>
    <r>
      <rPr>
        <i/>
        <sz val="10"/>
        <color indexed="8"/>
        <rFont val="Times New Roman"/>
        <family val="1"/>
      </rPr>
      <t>( 30.06.2006 Tarihi İtibariyle )</t>
    </r>
  </si>
  <si>
    <r>
      <t xml:space="preserve">Faaliyet Gruplarında İller İtibariyle İşyeri ve Sigortalı Sayıları ile prime esas ortalama günlük kazançlar </t>
    </r>
    <r>
      <rPr>
        <sz val="10"/>
        <color indexed="8"/>
        <rFont val="Times New Roman"/>
        <family val="1"/>
      </rPr>
      <t xml:space="preserve">(Mayıs 2006) </t>
    </r>
  </si>
  <si>
    <r>
      <t xml:space="preserve">5458 Sayılı Kanuna Göre Borçların Yeniden Yapılandırılması </t>
    </r>
    <r>
      <rPr>
        <i/>
        <sz val="10"/>
        <color indexed="8"/>
        <rFont val="Times New Roman"/>
        <family val="1"/>
      </rPr>
      <t xml:space="preserve">(30.06.2006) </t>
    </r>
  </si>
  <si>
    <t>2006           (Haziran)</t>
  </si>
  <si>
    <r>
      <t xml:space="preserve">İller İtibariyle İşyeri ve Sigortalı Sayıları </t>
    </r>
    <r>
      <rPr>
        <i/>
        <sz val="10"/>
        <color indexed="8"/>
        <rFont val="Times New Roman"/>
        <family val="1"/>
      </rPr>
      <t xml:space="preserve">(Mayıs 2006) </t>
    </r>
  </si>
  <si>
    <r>
      <t>NOT:</t>
    </r>
    <r>
      <rPr>
        <sz val="10"/>
        <rFont val="Times New Roman"/>
        <family val="1"/>
      </rPr>
      <t xml:space="preserve">.2006 yılı rakamlar  6 aylık fiili,6 aylık tahmini nakit akım tablosundan alınmıştır.Hazineden, nisan ayında (ocak,şubat,mart ayları dahil) emeklilerimize ödenmek üzere ek ödeme karşılığı olan 243.717 Bin YTL.ek ödeme alınmıştır. </t>
    </r>
  </si>
  <si>
    <r>
      <t>•</t>
    </r>
    <r>
      <rPr>
        <b/>
        <sz val="11"/>
        <color indexed="8"/>
        <rFont val="Times New Roman"/>
        <family val="1"/>
      </rPr>
      <t xml:space="preserve">ASGARİ EMEKLİ </t>
    </r>
    <r>
      <rPr>
        <i/>
        <sz val="11"/>
        <color indexed="8"/>
        <rFont val="Times New Roman"/>
        <family val="1"/>
      </rPr>
      <t xml:space="preserve">(HAZİRAN 2006) </t>
    </r>
  </si>
  <si>
    <t>NOT:2005 yılı rakamlarımız 12 aylık fiili, 2006 yılı ise 6 aylık fiili 6 aylık tahmini nakit akım tablolarından alınmıştır.</t>
  </si>
  <si>
    <r>
      <t xml:space="preserve">5458  Sayılı Kanuna Göre Borçların Yeniden Yapılandırmasına İlişkin Sonuçlar                                                                                                               </t>
    </r>
    <r>
      <rPr>
        <b/>
        <i/>
        <sz val="14"/>
        <color indexed="12"/>
        <rFont val="Times New Roman"/>
        <family val="1"/>
      </rPr>
      <t>(30.06.2006 Tarihi İtibariyle)</t>
    </r>
  </si>
  <si>
    <t>(*) IV.Dönem (Yıl Sonu Kesin )gerçekleşme durumudur.</t>
  </si>
  <si>
    <r>
      <t xml:space="preserve">•      </t>
    </r>
    <r>
      <rPr>
        <b/>
        <sz val="12"/>
        <color indexed="8"/>
        <rFont val="Times New Roman"/>
        <family val="1"/>
      </rPr>
      <t xml:space="preserve">18       SİGORTA MÜDÜRLÜĞÜ </t>
    </r>
    <r>
      <rPr>
        <i/>
        <sz val="12"/>
        <color indexed="8"/>
        <rFont val="Times New Roman"/>
        <family val="1"/>
      </rPr>
      <t>(Henüz faaliyete geçmeyen izmir  ve Ümraniye sig.müd.dahil değildir.)</t>
    </r>
  </si>
  <si>
    <t>( 30.06.2006 Tarihi İtibariyle )</t>
  </si>
  <si>
    <t>2005 YILI</t>
  </si>
  <si>
    <r>
      <t>NOT:1-) 2005 yılı rakamlarımız 12 aylık fiili nakit akım tablosundan alınmıştır.2006 yılı ise 6 aylık fiili 6 aylık tahmini nakit akım tablolarından alınmıştır.Ayrıca 2006 yılında Sağlık Bakanlığı ile Diğer Sağlık Tesisleri Ödemeleri olan 10.798.568,0 Milyar TL. kısmında</t>
    </r>
    <r>
      <rPr>
        <sz val="10"/>
        <color indexed="10"/>
        <rFont val="Times New Roman"/>
        <family val="1"/>
      </rPr>
      <t xml:space="preserve"> </t>
    </r>
    <r>
      <rPr>
        <sz val="10"/>
        <rFont val="Times New Roman"/>
        <family val="1"/>
      </rPr>
      <t>17 Milyon YTL</t>
    </r>
    <r>
      <rPr>
        <sz val="10"/>
        <color indexed="10"/>
        <rFont val="Times New Roman"/>
        <family val="1"/>
      </rPr>
      <t xml:space="preserve">.  </t>
    </r>
    <r>
      <rPr>
        <sz val="10"/>
        <rFont val="Times New Roman"/>
        <family val="1"/>
      </rPr>
      <t>2004 yılından kalan kurum eczaneleri ilaç borcu bulunmaktadır.</t>
    </r>
  </si>
  <si>
    <t xml:space="preserve"> (2005 Yılsonu  itibariyle)</t>
  </si>
  <si>
    <t>2006(Mayıs)</t>
  </si>
  <si>
    <r>
      <t xml:space="preserve">2006 </t>
    </r>
    <r>
      <rPr>
        <sz val="9"/>
        <rFont val="Times New Roman"/>
        <family val="1"/>
      </rPr>
      <t>( Mayıs Ayı )</t>
    </r>
  </si>
  <si>
    <t>(HAZİRAN SONU İTİBARİYLE)</t>
  </si>
  <si>
    <t xml:space="preserve">     2006 YILI MAYIS AYI İTİBARİYLE İŞYERİ VE ZORUNLU SİGORTALI </t>
  </si>
  <si>
    <t>2006 YILI MAYIS AYI İTİBARİYLE İŞYERİ, ZORUNLU SİGORTALI SAYILARI VE PRİME ESAS  ORTALAMA GÜNLÜK KAZANÇLARIN FAALİYET GRUPLARINA GÖRE DAĞILIMI</t>
  </si>
  <si>
    <t xml:space="preserve"> by the branch of activites,sectors  and gender in 2006 by May )</t>
  </si>
  <si>
    <r>
      <t xml:space="preserve">• SİGORTALI BAŞINA AYLIK PRİM </t>
    </r>
    <r>
      <rPr>
        <i/>
        <sz val="9"/>
        <color indexed="10"/>
        <rFont val="Times New Roman"/>
        <family val="1"/>
      </rPr>
      <t>(TL.)               (ARALIK AYI İTİBARİYLE)</t>
    </r>
  </si>
  <si>
    <t>Yapılandırmaya esas Gecikme zammı</t>
  </si>
  <si>
    <t>(*) Aynı sigortalı kişinin bir ay içerisinde farklı illerde ve farklı faliyet gruplarında çalışması durumunda aynı kişinin iki sigortalı sayılmasına neden olduğundan T.C. Kimlik numarasına göre olan sigortalı sayısı ile illere ve faaliyet gruplarına  göre sigortalı sayılarımız  tutmamaktadır.</t>
  </si>
  <si>
    <t xml:space="preserve">  (***) Aylık Prim ve Hizmet  Belgesindeki TC Kimlik Numarasına göre sigortalı sayısı verilmiştir.</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</si>
</sst>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_(* #,##0.00_);_(* \(#,##0.00\);_(* &quot;-&quot;??_);_(@_)"/>
    <numFmt numFmtId="167" formatCode="_(* #,##0_);_(* \(#,##0\);_(* &quot;-&quot;??_);_(@_)"/>
    <numFmt numFmtId="168" formatCode="_(* #,##0.0_);_(* \(#,##0.0\);_(* &quot;-&quot;??_);_(@_)"/>
    <numFmt numFmtId="169" formatCode="#,##0.0"/>
    <numFmt numFmtId="170" formatCode="0.0"/>
    <numFmt numFmtId="171" formatCode="_(* #,##0_);_(* \(#,##0\);_(* &quot;-&quot;_);_(@_)"/>
    <numFmt numFmtId="172" formatCode="&quot;Evet&quot;;&quot;Evet&quot;;&quot;Hayır&quot;"/>
    <numFmt numFmtId="173" formatCode="&quot;Doğru&quot;;&quot;Doğru&quot;;&quot;Yanlış&quot;"/>
    <numFmt numFmtId="174" formatCode="&quot;Açık&quot;;&quot;Açık&quot;;&quot;Kapalı&quot;"/>
    <numFmt numFmtId="175" formatCode="_-* #,##0_-;\-* #,##0_-;_-* &quot;-&quot;??_-;_-@_-"/>
    <numFmt numFmtId="176" formatCode="[$-41F]dd\ mmmm\ yyyy\ dddd"/>
    <numFmt numFmtId="177" formatCode="#,##0.0\ &quot;TL&quot;"/>
    <numFmt numFmtId="178" formatCode="#,##0.00\ &quot;TL&quot;"/>
    <numFmt numFmtId="179" formatCode="00000"/>
    <numFmt numFmtId="180" formatCode="_-* #,##0.0_-;\-* #,##0.0_-;_-* &quot;-&quot;??_-;_-@_-"/>
    <numFmt numFmtId="181" formatCode="#,##0.000"/>
    <numFmt numFmtId="182" formatCode="#,##0.0\ &quot;TL&quot;;[Red]\-#,##0.0\ &quot;TL&quot;"/>
    <numFmt numFmtId="183" formatCode="0.0%"/>
    <numFmt numFmtId="184" formatCode="_-* #,##0.0\ _T_L_-;\-* #,##0.0\ _T_L_-;_-* &quot;-&quot;?\ _T_L_-;_-@_-"/>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mmmmm\ yy"/>
    <numFmt numFmtId="195" formatCode="mmmm\ yy"/>
    <numFmt numFmtId="196" formatCode="#,##0_ ;\-#,##0\ "/>
    <numFmt numFmtId="197" formatCode="#,##0.0000"/>
    <numFmt numFmtId="198" formatCode="_-* #,##0.0\ &quot;TL&quot;_-;\-* #,##0.0\ &quot;TL&quot;_-;_-* &quot;-&quot;\ &quot;TL&quot;_-;_-@_-"/>
    <numFmt numFmtId="199" formatCode="_-* #,##0.00\ &quot;TL&quot;_-;\-* #,##0.00\ &quot;TL&quot;_-;_-* &quot;-&quot;\ &quot;TL&quot;_-;_-@_-"/>
    <numFmt numFmtId="200" formatCode="_-* #,##0.000\ &quot;TL&quot;_-;\-* #,##0.000\ &quot;TL&quot;_-;_-* &quot;-&quot;\ &quot;TL&quot;_-;_-@_-"/>
    <numFmt numFmtId="201" formatCode="_-* #,##0.0000\ &quot;TL&quot;_-;\-* #,##0.0000\ &quot;TL&quot;_-;_-* &quot;-&quot;\ &quot;TL&quot;_-;_-@_-"/>
    <numFmt numFmtId="202" formatCode="_-* #,##0.00000\ &quot;TL&quot;_-;\-* #,##0.00000\ &quot;TL&quot;_-;_-* &quot;-&quot;\ &quot;TL&quot;_-;_-@_-"/>
    <numFmt numFmtId="203" formatCode="_-* #,##0.000000\ &quot;TL&quot;_-;\-* #,##0.000000\ &quot;TL&quot;_-;_-* &quot;-&quot;\ &quot;TL&quot;_-;_-@_-"/>
    <numFmt numFmtId="204" formatCode="_-* #,##0.0000000\ &quot;TL&quot;_-;\-* #,##0.0000000\ &quot;TL&quot;_-;_-* &quot;-&quot;\ &quot;TL&quot;_-;_-@_-"/>
    <numFmt numFmtId="205" formatCode="_-* #,##0.00000000\ &quot;TL&quot;_-;\-* #,##0.00000000\ &quot;TL&quot;_-;_-* &quot;-&quot;\ &quot;TL&quot;_-;_-@_-"/>
    <numFmt numFmtId="206" formatCode="_-* #,##0.000000000\ &quot;TL&quot;_-;\-* #,##0.000000000\ &quot;TL&quot;_-;_-* &quot;-&quot;\ &quot;TL&quot;_-;_-@_-"/>
    <numFmt numFmtId="207" formatCode="B2dd/mm/yyyy"/>
    <numFmt numFmtId="208" formatCode="[$-41F]0.00"/>
    <numFmt numFmtId="209" formatCode="_-* #,##0.00\ _T_L_-;\-* #,##0.00\ _T_L_-;_-* &quot;-&quot;?\ _T_L_-;_-@_-"/>
    <numFmt numFmtId="210" formatCode="_-* #,##0.000\ _T_L_-;\-* #,##0.000\ _T_L_-;_-* &quot;-&quot;?\ _T_L_-;_-@_-"/>
    <numFmt numFmtId="211" formatCode="_-* #,##0.0000\ _T_L_-;\-* #,##0.0000\ _T_L_-;_-* &quot;-&quot;?\ _T_L_-;_-@_-"/>
    <numFmt numFmtId="212" formatCode="_-* #,##0.00000\ _T_L_-;\-* #,##0.00000\ _T_L_-;_-* &quot;-&quot;?\ _T_L_-;_-@_-"/>
    <numFmt numFmtId="213" formatCode="_(* #,##0.000_);_(* \(#,##0.000\);_(* &quot;-&quot;??_);_(@_)"/>
    <numFmt numFmtId="214" formatCode="_(* #,##0.0000_);_(* \(#,##0.0000\);_(* &quot;-&quot;??_);_(@_)"/>
    <numFmt numFmtId="215" formatCode="[$-41F]d\ mmmm;@"/>
    <numFmt numFmtId="216" formatCode="_-* #,##0.0000000\ _T_L_-;\-* #,##0.0000000\ _T_L_-;_-* &quot;-&quot;??\ _T_L_-;_-@_-"/>
  </numFmts>
  <fonts count="121">
    <font>
      <sz val="10"/>
      <name val="Arial Tur"/>
      <family val="0"/>
    </font>
    <font>
      <sz val="10"/>
      <name val="Times New Roman"/>
      <family val="1"/>
    </font>
    <font>
      <b/>
      <sz val="10"/>
      <name val="Times New Roman"/>
      <family val="1"/>
    </font>
    <font>
      <b/>
      <sz val="10"/>
      <name val="Arial Tur"/>
      <family val="0"/>
    </font>
    <font>
      <sz val="12"/>
      <name val="Times New Roman"/>
      <family val="1"/>
    </font>
    <font>
      <b/>
      <sz val="12"/>
      <name val="Times New Roman"/>
      <family val="1"/>
    </font>
    <font>
      <b/>
      <sz val="14"/>
      <name val="Times New Roman"/>
      <family val="1"/>
    </font>
    <font>
      <sz val="14"/>
      <name val="Times New Roman"/>
      <family val="1"/>
    </font>
    <font>
      <sz val="8"/>
      <name val="Arial Tur"/>
      <family val="0"/>
    </font>
    <font>
      <b/>
      <sz val="8"/>
      <name val="Times New Roman"/>
      <family val="1"/>
    </font>
    <font>
      <sz val="12"/>
      <name val="Arial Tur"/>
      <family val="0"/>
    </font>
    <font>
      <sz val="11.5"/>
      <name val="Arial Tur"/>
      <family val="0"/>
    </font>
    <font>
      <b/>
      <sz val="11"/>
      <name val="Times New Roman"/>
      <family val="1"/>
    </font>
    <font>
      <sz val="11.25"/>
      <name val="Arial Tur"/>
      <family val="0"/>
    </font>
    <font>
      <sz val="9.75"/>
      <name val="Arial Tur"/>
      <family val="0"/>
    </font>
    <font>
      <i/>
      <sz val="12"/>
      <name val="Times New Roman"/>
      <family val="1"/>
    </font>
    <font>
      <b/>
      <sz val="2.5"/>
      <name val="Times New Roman"/>
      <family val="1"/>
    </font>
    <font>
      <b/>
      <sz val="2.25"/>
      <name val="Times New Roman"/>
      <family val="1"/>
    </font>
    <font>
      <sz val="4"/>
      <name val="Arial Tur"/>
      <family val="0"/>
    </font>
    <font>
      <sz val="3.5"/>
      <name val="Arial Tur"/>
      <family val="0"/>
    </font>
    <font>
      <b/>
      <sz val="2.75"/>
      <name val="Times New Roman"/>
      <family val="1"/>
    </font>
    <font>
      <sz val="11.75"/>
      <name val="Arial Tur"/>
      <family val="0"/>
    </font>
    <font>
      <b/>
      <sz val="9"/>
      <name val="Times New Roman"/>
      <family val="1"/>
    </font>
    <font>
      <b/>
      <sz val="13.75"/>
      <name val="Times New Roman"/>
      <family val="1"/>
    </font>
    <font>
      <b/>
      <sz val="11.75"/>
      <name val="Times New Roman"/>
      <family val="1"/>
    </font>
    <font>
      <b/>
      <sz val="6.25"/>
      <name val="Times New Roman"/>
      <family val="1"/>
    </font>
    <font>
      <i/>
      <sz val="10"/>
      <name val="Times New Roman"/>
      <family val="1"/>
    </font>
    <font>
      <u val="single"/>
      <sz val="10"/>
      <color indexed="36"/>
      <name val="Arial"/>
      <family val="0"/>
    </font>
    <font>
      <u val="single"/>
      <sz val="10"/>
      <color indexed="12"/>
      <name val="Arial"/>
      <family val="0"/>
    </font>
    <font>
      <sz val="11"/>
      <name val="Times New Roman"/>
      <family val="1"/>
    </font>
    <font>
      <b/>
      <sz val="10"/>
      <color indexed="8"/>
      <name val="Times New Roman"/>
      <family val="1"/>
    </font>
    <font>
      <sz val="9"/>
      <name val="Times New Roman"/>
      <family val="1"/>
    </font>
    <font>
      <sz val="11"/>
      <color indexed="8"/>
      <name val="Times New Roman"/>
      <family val="1"/>
    </font>
    <font>
      <i/>
      <sz val="9"/>
      <name val="Times New Roman"/>
      <family val="1"/>
    </font>
    <font>
      <b/>
      <sz val="11"/>
      <color indexed="12"/>
      <name val="Times New Roman"/>
      <family val="1"/>
    </font>
    <font>
      <sz val="10"/>
      <color indexed="9"/>
      <name val="Times New Roman"/>
      <family val="1"/>
    </font>
    <font>
      <b/>
      <sz val="11"/>
      <color indexed="8"/>
      <name val="Times New Roman"/>
      <family val="1"/>
    </font>
    <font>
      <sz val="10"/>
      <color indexed="8"/>
      <name val="Arial Tur"/>
      <family val="0"/>
    </font>
    <font>
      <i/>
      <sz val="11"/>
      <color indexed="8"/>
      <name val="Times New Roman"/>
      <family val="1"/>
    </font>
    <font>
      <b/>
      <sz val="8"/>
      <name val="Arial Tur"/>
      <family val="0"/>
    </font>
    <font>
      <b/>
      <sz val="9"/>
      <color indexed="8"/>
      <name val="Times New Roman"/>
      <family val="1"/>
    </font>
    <font>
      <i/>
      <sz val="9"/>
      <color indexed="8"/>
      <name val="Times New Roman"/>
      <family val="1"/>
    </font>
    <font>
      <b/>
      <sz val="9"/>
      <color indexed="9"/>
      <name val="Times New Roman"/>
      <family val="1"/>
    </font>
    <font>
      <b/>
      <sz val="11"/>
      <color indexed="9"/>
      <name val="Times New Roman"/>
      <family val="1"/>
    </font>
    <font>
      <sz val="11"/>
      <color indexed="9"/>
      <name val="Times New Roman"/>
      <family val="1"/>
    </font>
    <font>
      <b/>
      <sz val="12"/>
      <color indexed="8"/>
      <name val="Times New Roman"/>
      <family val="1"/>
    </font>
    <font>
      <b/>
      <i/>
      <sz val="11"/>
      <color indexed="8"/>
      <name val="Times New Roman"/>
      <family val="1"/>
    </font>
    <font>
      <b/>
      <sz val="7"/>
      <name val="Times New Roman"/>
      <family val="1"/>
    </font>
    <font>
      <sz val="8"/>
      <name val="Times New Roman"/>
      <family val="1"/>
    </font>
    <font>
      <b/>
      <sz val="8"/>
      <color indexed="8"/>
      <name val="Times New Roman"/>
      <family val="1"/>
    </font>
    <font>
      <sz val="8"/>
      <color indexed="8"/>
      <name val="Times New Roman"/>
      <family val="1"/>
    </font>
    <font>
      <sz val="10"/>
      <color indexed="10"/>
      <name val="Times New Roman"/>
      <family val="1"/>
    </font>
    <font>
      <b/>
      <sz val="8.25"/>
      <name val="Times New Roman"/>
      <family val="1"/>
    </font>
    <font>
      <sz val="8.25"/>
      <name val="Arial Tur"/>
      <family val="0"/>
    </font>
    <font>
      <b/>
      <sz val="12"/>
      <color indexed="48"/>
      <name val="Times New Roman"/>
      <family val="1"/>
    </font>
    <font>
      <sz val="10"/>
      <color indexed="8"/>
      <name val="Times New Roman"/>
      <family val="1"/>
    </font>
    <font>
      <i/>
      <sz val="12"/>
      <color indexed="8"/>
      <name val="Times New Roman"/>
      <family val="1"/>
    </font>
    <font>
      <i/>
      <sz val="10"/>
      <color indexed="8"/>
      <name val="Times New Roman"/>
      <family val="1"/>
    </font>
    <font>
      <sz val="10.5"/>
      <name val="Arial Tur"/>
      <family val="0"/>
    </font>
    <font>
      <sz val="9"/>
      <color indexed="8"/>
      <name val="Times New Roman"/>
      <family val="1"/>
    </font>
    <font>
      <b/>
      <sz val="9"/>
      <color indexed="48"/>
      <name val="Times New Roman"/>
      <family val="1"/>
    </font>
    <font>
      <b/>
      <sz val="9"/>
      <color indexed="10"/>
      <name val="Times New Roman"/>
      <family val="1"/>
    </font>
    <font>
      <sz val="14"/>
      <color indexed="10"/>
      <name val="Times New Roman"/>
      <family val="1"/>
    </font>
    <font>
      <sz val="16"/>
      <name val="Arial Tur"/>
      <family val="0"/>
    </font>
    <font>
      <b/>
      <sz val="8.5"/>
      <name val="Times New Roman"/>
      <family val="1"/>
    </font>
    <font>
      <sz val="16.75"/>
      <name val="Arial Tur"/>
      <family val="0"/>
    </font>
    <font>
      <sz val="15.75"/>
      <name val="Arial Tur"/>
      <family val="0"/>
    </font>
    <font>
      <sz val="11"/>
      <name val="Arial Tur"/>
      <family val="0"/>
    </font>
    <font>
      <sz val="12"/>
      <color indexed="9"/>
      <name val="Times New Roman"/>
      <family val="1"/>
    </font>
    <font>
      <sz val="8"/>
      <color indexed="9"/>
      <name val="Times New Roman"/>
      <family val="1"/>
    </font>
    <font>
      <b/>
      <sz val="8.75"/>
      <name val="Times New Roman"/>
      <family val="1"/>
    </font>
    <font>
      <sz val="9"/>
      <name val="Arial Tur"/>
      <family val="0"/>
    </font>
    <font>
      <sz val="12"/>
      <color indexed="8"/>
      <name val="Times New Roman"/>
      <family val="1"/>
    </font>
    <font>
      <b/>
      <u val="single"/>
      <sz val="12"/>
      <color indexed="8"/>
      <name val="Times New Roman"/>
      <family val="1"/>
    </font>
    <font>
      <b/>
      <sz val="7"/>
      <color indexed="60"/>
      <name val="Times New Roman"/>
      <family val="1"/>
    </font>
    <font>
      <sz val="7"/>
      <name val="Times New Roman"/>
      <family val="1"/>
    </font>
    <font>
      <sz val="14"/>
      <color indexed="8"/>
      <name val="Times New Roman"/>
      <family val="1"/>
    </font>
    <font>
      <sz val="7"/>
      <color indexed="8"/>
      <name val="Times New Roman"/>
      <family val="1"/>
    </font>
    <font>
      <sz val="6"/>
      <color indexed="8"/>
      <name val="Times New Roman"/>
      <family val="1"/>
    </font>
    <font>
      <b/>
      <sz val="7"/>
      <color indexed="8"/>
      <name val="Times New Roman"/>
      <family val="1"/>
    </font>
    <font>
      <b/>
      <sz val="12"/>
      <color indexed="12"/>
      <name val="Times New Roman"/>
      <family val="1"/>
    </font>
    <font>
      <b/>
      <sz val="14"/>
      <color indexed="12"/>
      <name val="Times New Roman"/>
      <family val="1"/>
    </font>
    <font>
      <i/>
      <sz val="12"/>
      <color indexed="12"/>
      <name val="Times New Roman"/>
      <family val="1"/>
    </font>
    <font>
      <b/>
      <sz val="9.75"/>
      <color indexed="12"/>
      <name val="Times New Roman"/>
      <family val="1"/>
    </font>
    <font>
      <sz val="10"/>
      <color indexed="12"/>
      <name val="Arial Tur"/>
      <family val="0"/>
    </font>
    <font>
      <sz val="12"/>
      <color indexed="12"/>
      <name val="Times New Roman"/>
      <family val="1"/>
    </font>
    <font>
      <i/>
      <sz val="14"/>
      <color indexed="12"/>
      <name val="Times New Roman"/>
      <family val="1"/>
    </font>
    <font>
      <sz val="14"/>
      <color indexed="12"/>
      <name val="Times New Roman"/>
      <family val="1"/>
    </font>
    <font>
      <i/>
      <sz val="11"/>
      <color indexed="12"/>
      <name val="Times New Roman"/>
      <family val="1"/>
    </font>
    <font>
      <i/>
      <sz val="10"/>
      <color indexed="12"/>
      <name val="Arial Tur"/>
      <family val="0"/>
    </font>
    <font>
      <sz val="10"/>
      <color indexed="12"/>
      <name val="Times New Roman"/>
      <family val="1"/>
    </font>
    <font>
      <i/>
      <sz val="10"/>
      <color indexed="12"/>
      <name val="Times New Roman"/>
      <family val="1"/>
    </font>
    <font>
      <sz val="12"/>
      <color indexed="12"/>
      <name val="Arial Tur"/>
      <family val="0"/>
    </font>
    <font>
      <b/>
      <sz val="10"/>
      <color indexed="12"/>
      <name val="Times New Roman"/>
      <family val="1"/>
    </font>
    <font>
      <b/>
      <sz val="6"/>
      <name val="Times New Roman"/>
      <family val="1"/>
    </font>
    <font>
      <sz val="9"/>
      <color indexed="9"/>
      <name val="Times New Roman"/>
      <family val="1"/>
    </font>
    <font>
      <b/>
      <vertAlign val="subscript"/>
      <sz val="18"/>
      <color indexed="12"/>
      <name val="Times New Roman"/>
      <family val="1"/>
    </font>
    <font>
      <b/>
      <i/>
      <sz val="8"/>
      <name val="Times New Roman"/>
      <family val="1"/>
    </font>
    <font>
      <b/>
      <sz val="18"/>
      <color indexed="18"/>
      <name val="Times New Roman"/>
      <family val="1"/>
    </font>
    <font>
      <sz val="16"/>
      <color indexed="18"/>
      <name val="Times New Roman"/>
      <family val="1"/>
    </font>
    <font>
      <b/>
      <sz val="26"/>
      <color indexed="18"/>
      <name val="Times New Roman"/>
      <family val="1"/>
    </font>
    <font>
      <i/>
      <sz val="26"/>
      <color indexed="18"/>
      <name val="Times New Roman"/>
      <family val="1"/>
    </font>
    <font>
      <i/>
      <sz val="26"/>
      <color indexed="10"/>
      <name val="Times New Roman"/>
      <family val="1"/>
    </font>
    <font>
      <i/>
      <sz val="16"/>
      <color indexed="10"/>
      <name val="Times New Roman"/>
      <family val="1"/>
    </font>
    <font>
      <i/>
      <sz val="11"/>
      <name val="Arial Tur"/>
      <family val="0"/>
    </font>
    <font>
      <b/>
      <i/>
      <sz val="14"/>
      <name val="Arial Tur"/>
      <family val="0"/>
    </font>
    <font>
      <b/>
      <sz val="16"/>
      <name val="Arial Tur"/>
      <family val="0"/>
    </font>
    <font>
      <b/>
      <sz val="10.5"/>
      <color indexed="12"/>
      <name val="Times New Roman"/>
      <family val="1"/>
    </font>
    <font>
      <b/>
      <sz val="8"/>
      <name val="Comic Sans MS"/>
      <family val="4"/>
    </font>
    <font>
      <b/>
      <sz val="10"/>
      <color indexed="9"/>
      <name val="Times New Roman"/>
      <family val="1"/>
    </font>
    <font>
      <b/>
      <sz val="8"/>
      <color indexed="12"/>
      <name val="Times New Roman"/>
      <family val="1"/>
    </font>
    <font>
      <i/>
      <sz val="8"/>
      <color indexed="12"/>
      <name val="Times New Roman"/>
      <family val="1"/>
    </font>
    <font>
      <sz val="10"/>
      <name val="Arial"/>
      <family val="0"/>
    </font>
    <font>
      <i/>
      <sz val="9"/>
      <color indexed="12"/>
      <name val="Times New Roman"/>
      <family val="1"/>
    </font>
    <font>
      <sz val="9"/>
      <color indexed="63"/>
      <name val="Times New Roman"/>
      <family val="1"/>
    </font>
    <font>
      <b/>
      <sz val="9"/>
      <color indexed="63"/>
      <name val="Times New Roman"/>
      <family val="1"/>
    </font>
    <font>
      <b/>
      <i/>
      <sz val="14"/>
      <color indexed="12"/>
      <name val="Times New Roman"/>
      <family val="1"/>
    </font>
    <font>
      <b/>
      <sz val="20"/>
      <color indexed="12"/>
      <name val="Times New Roman"/>
      <family val="1"/>
    </font>
    <font>
      <sz val="20"/>
      <color indexed="12"/>
      <name val="Arial Tur"/>
      <family val="0"/>
    </font>
    <font>
      <i/>
      <sz val="9"/>
      <color indexed="10"/>
      <name val="Times New Roman"/>
      <family val="1"/>
    </font>
    <font>
      <sz val="9"/>
      <color indexed="10"/>
      <name val="Times New Roman"/>
      <family val="1"/>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60">
    <border>
      <left/>
      <right/>
      <top/>
      <bottom/>
      <diagonal/>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double"/>
      <right style="hair"/>
      <top style="double"/>
      <bottom style="hair"/>
    </border>
    <border>
      <left style="hair"/>
      <right style="hair"/>
      <top style="double"/>
      <bottom style="hair"/>
    </border>
    <border>
      <left style="double"/>
      <right style="hair"/>
      <top style="hair"/>
      <bottom style="hair"/>
    </border>
    <border>
      <left style="double"/>
      <right style="hair"/>
      <top style="double"/>
      <bottom>
        <color indexed="63"/>
      </bottom>
    </border>
    <border>
      <left style="double"/>
      <right style="hair"/>
      <top>
        <color indexed="63"/>
      </top>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hair"/>
      <right style="double"/>
      <top style="double"/>
      <bottom style="hair"/>
    </border>
    <border>
      <left style="hair"/>
      <right style="hair"/>
      <top style="double"/>
      <bottom>
        <color indexed="63"/>
      </bottom>
    </border>
    <border>
      <left style="hair"/>
      <right style="hair"/>
      <top>
        <color indexed="63"/>
      </top>
      <bottom style="hair"/>
    </border>
    <border>
      <left style="hair"/>
      <right>
        <color indexed="63"/>
      </right>
      <top style="double"/>
      <bottom style="hair"/>
    </border>
    <border>
      <left style="hair"/>
      <right>
        <color indexed="63"/>
      </right>
      <top style="hair"/>
      <bottom style="hair"/>
    </border>
    <border>
      <left style="double"/>
      <right>
        <color indexed="63"/>
      </right>
      <top>
        <color indexed="63"/>
      </top>
      <bottom style="double"/>
    </border>
    <border>
      <left>
        <color indexed="63"/>
      </left>
      <right style="hair"/>
      <top style="hair"/>
      <bottom style="hair"/>
    </border>
    <border>
      <left style="hair"/>
      <right style="double"/>
      <top>
        <color indexed="63"/>
      </top>
      <bottom style="hair"/>
    </border>
    <border>
      <left style="hair"/>
      <right style="double"/>
      <top style="double"/>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hair"/>
      <right style="double"/>
      <top>
        <color indexed="63"/>
      </top>
      <bottom>
        <color indexed="63"/>
      </bottom>
    </border>
    <border>
      <left style="hair"/>
      <right style="hair"/>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double"/>
      <top style="hair"/>
      <bottom style="hair"/>
    </border>
    <border>
      <left style="hair"/>
      <right>
        <color indexed="63"/>
      </right>
      <top style="hair"/>
      <bottom style="double"/>
    </border>
    <border>
      <left>
        <color indexed="63"/>
      </left>
      <right style="hair"/>
      <top style="hair"/>
      <bottom style="double"/>
    </border>
    <border>
      <left>
        <color indexed="63"/>
      </left>
      <right style="double"/>
      <top style="hair"/>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color indexed="63"/>
      </left>
      <right style="double"/>
      <top style="double"/>
      <bottom style="hair"/>
    </border>
    <border>
      <left>
        <color indexed="63"/>
      </left>
      <right>
        <color indexed="63"/>
      </right>
      <top style="double"/>
      <bottom style="double"/>
    </border>
    <border>
      <left style="double"/>
      <right>
        <color indexed="63"/>
      </right>
      <top style="hair"/>
      <bottom style="double"/>
    </border>
    <border>
      <left>
        <color indexed="63"/>
      </left>
      <right>
        <color indexed="63"/>
      </right>
      <top style="hair"/>
      <bottom style="double"/>
    </border>
    <border>
      <left style="double"/>
      <right>
        <color indexed="63"/>
      </right>
      <top style="hair"/>
      <bottom style="hair"/>
    </border>
    <border>
      <left>
        <color indexed="63"/>
      </left>
      <right>
        <color indexed="63"/>
      </right>
      <top style="hair"/>
      <bottom style="hair"/>
    </border>
    <border>
      <left>
        <color indexed="63"/>
      </left>
      <right>
        <color indexed="63"/>
      </right>
      <top style="double"/>
      <bottom style="hair"/>
    </border>
    <border>
      <left style="double"/>
      <right style="hair"/>
      <top style="hair"/>
      <bottom>
        <color indexed="63"/>
      </bottom>
    </border>
    <border>
      <left style="double"/>
      <right style="hair"/>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12"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3">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5" fillId="0" borderId="1" xfId="0" applyFont="1" applyBorder="1" applyAlignment="1">
      <alignment vertical="center" wrapText="1"/>
    </xf>
    <xf numFmtId="0" fontId="29" fillId="0" borderId="0" xfId="0" applyFont="1" applyAlignment="1">
      <alignment/>
    </xf>
    <xf numFmtId="0" fontId="30" fillId="0" borderId="0" xfId="0" applyFont="1" applyAlignment="1">
      <alignment/>
    </xf>
    <xf numFmtId="0" fontId="31" fillId="0" borderId="0" xfId="0" applyFont="1" applyAlignment="1">
      <alignment/>
    </xf>
    <xf numFmtId="3" fontId="35" fillId="0" borderId="0" xfId="0" applyNumberFormat="1" applyFont="1" applyAlignment="1">
      <alignment/>
    </xf>
    <xf numFmtId="0" fontId="1" fillId="0" borderId="0" xfId="0" applyFont="1" applyAlignment="1">
      <alignment horizontal="left"/>
    </xf>
    <xf numFmtId="3" fontId="35" fillId="0" borderId="0" xfId="0" applyNumberFormat="1" applyFont="1" applyAlignment="1">
      <alignment wrapText="1"/>
    </xf>
    <xf numFmtId="0" fontId="35" fillId="0" borderId="0" xfId="0" applyFont="1" applyAlignment="1">
      <alignment/>
    </xf>
    <xf numFmtId="0" fontId="22" fillId="0" borderId="0" xfId="0" applyFont="1" applyAlignment="1">
      <alignment/>
    </xf>
    <xf numFmtId="0" fontId="5" fillId="0" borderId="0" xfId="0" applyFont="1" applyAlignment="1">
      <alignment horizontal="left"/>
    </xf>
    <xf numFmtId="0" fontId="34" fillId="0" borderId="0" xfId="0" applyFont="1" applyAlignment="1">
      <alignment horizontal="center" wrapText="1"/>
    </xf>
    <xf numFmtId="0" fontId="4" fillId="0" borderId="0" xfId="0" applyFont="1" applyAlignment="1">
      <alignment/>
    </xf>
    <xf numFmtId="0" fontId="1" fillId="0" borderId="0" xfId="0" applyFont="1" applyAlignment="1">
      <alignment horizontal="center" wrapText="1"/>
    </xf>
    <xf numFmtId="0" fontId="5" fillId="0" borderId="0" xfId="0" applyFont="1" applyAlignment="1">
      <alignment/>
    </xf>
    <xf numFmtId="0" fontId="42" fillId="0" borderId="0" xfId="0" applyFont="1" applyBorder="1" applyAlignment="1">
      <alignment horizontal="center" vertical="center"/>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xf>
    <xf numFmtId="169" fontId="44" fillId="2" borderId="0" xfId="0" applyNumberFormat="1" applyFont="1" applyFill="1" applyBorder="1" applyAlignment="1">
      <alignment/>
    </xf>
    <xf numFmtId="2" fontId="44" fillId="2" borderId="0" xfId="0" applyNumberFormat="1" applyFont="1" applyFill="1" applyBorder="1" applyAlignment="1">
      <alignment/>
    </xf>
    <xf numFmtId="0" fontId="1" fillId="0" borderId="0" xfId="0" applyFont="1" applyBorder="1" applyAlignment="1">
      <alignment/>
    </xf>
    <xf numFmtId="0" fontId="4" fillId="0" borderId="0" xfId="0" applyFont="1" applyBorder="1" applyAlignment="1">
      <alignment/>
    </xf>
    <xf numFmtId="0" fontId="29" fillId="0" borderId="0" xfId="0" applyFont="1" applyBorder="1" applyAlignment="1">
      <alignment/>
    </xf>
    <xf numFmtId="0" fontId="29" fillId="0" borderId="0" xfId="0" applyNumberFormat="1" applyFont="1" applyBorder="1" applyAlignment="1">
      <alignment vertical="center" wrapText="1"/>
    </xf>
    <xf numFmtId="0" fontId="1" fillId="0" borderId="0" xfId="0" applyFont="1" applyBorder="1" applyAlignment="1">
      <alignment wrapText="1"/>
    </xf>
    <xf numFmtId="3" fontId="29" fillId="0" borderId="0" xfId="0" applyNumberFormat="1" applyFont="1" applyAlignment="1">
      <alignment/>
    </xf>
    <xf numFmtId="0" fontId="9" fillId="2" borderId="0" xfId="0" applyFont="1" applyFill="1" applyBorder="1" applyAlignment="1">
      <alignment horizontal="left"/>
    </xf>
    <xf numFmtId="167" fontId="9" fillId="2" borderId="0" xfId="15" applyNumberFormat="1" applyFont="1" applyFill="1" applyBorder="1" applyAlignment="1">
      <alignment horizontal="center" vertical="center"/>
    </xf>
    <xf numFmtId="0" fontId="51" fillId="0" borderId="0" xfId="0" applyFont="1" applyAlignment="1">
      <alignment/>
    </xf>
    <xf numFmtId="0" fontId="15" fillId="0" borderId="0" xfId="0" applyFont="1" applyAlignment="1">
      <alignment horizontal="right"/>
    </xf>
    <xf numFmtId="0" fontId="0" fillId="0" borderId="0" xfId="0" applyBorder="1" applyAlignment="1">
      <alignment horizontal="left" wrapText="1"/>
    </xf>
    <xf numFmtId="168" fontId="1" fillId="0" borderId="0" xfId="0" applyNumberFormat="1" applyFont="1" applyAlignment="1">
      <alignment/>
    </xf>
    <xf numFmtId="211" fontId="1" fillId="0" borderId="0" xfId="0" applyNumberFormat="1" applyFont="1" applyAlignment="1">
      <alignment/>
    </xf>
    <xf numFmtId="0" fontId="5" fillId="0" borderId="0" xfId="0" applyFont="1" applyBorder="1" applyAlignment="1">
      <alignment horizontal="left"/>
    </xf>
    <xf numFmtId="0" fontId="0" fillId="0" borderId="0" xfId="0" applyBorder="1" applyAlignment="1">
      <alignment horizontal="left"/>
    </xf>
    <xf numFmtId="167" fontId="1" fillId="0" borderId="0" xfId="0" applyNumberFormat="1" applyFont="1" applyAlignment="1">
      <alignment/>
    </xf>
    <xf numFmtId="166" fontId="1" fillId="0" borderId="0" xfId="0" applyNumberFormat="1" applyFont="1" applyAlignment="1">
      <alignment/>
    </xf>
    <xf numFmtId="0" fontId="54" fillId="2" borderId="0" xfId="0" applyFont="1" applyFill="1" applyAlignment="1">
      <alignment/>
    </xf>
    <xf numFmtId="0" fontId="30" fillId="0" borderId="0" xfId="0" applyFont="1" applyAlignment="1">
      <alignment/>
    </xf>
    <xf numFmtId="0" fontId="1" fillId="0" borderId="0" xfId="0" applyFont="1" applyAlignment="1">
      <alignment horizontal="left" vertical="center"/>
    </xf>
    <xf numFmtId="0" fontId="45" fillId="0" borderId="0" xfId="0" applyFont="1" applyAlignment="1">
      <alignment/>
    </xf>
    <xf numFmtId="0" fontId="22" fillId="0" borderId="0" xfId="0" applyFont="1" applyBorder="1" applyAlignment="1">
      <alignment horizontal="justify" wrapText="1"/>
    </xf>
    <xf numFmtId="0" fontId="22" fillId="0" borderId="0" xfId="0" applyFont="1" applyBorder="1" applyAlignment="1">
      <alignment horizontal="left" vertical="center"/>
    </xf>
    <xf numFmtId="0" fontId="1" fillId="2" borderId="0" xfId="0" applyFont="1" applyFill="1" applyBorder="1" applyAlignment="1">
      <alignment/>
    </xf>
    <xf numFmtId="0" fontId="2" fillId="2" borderId="0" xfId="0" applyFont="1" applyFill="1" applyBorder="1" applyAlignment="1">
      <alignment/>
    </xf>
    <xf numFmtId="0" fontId="40" fillId="2" borderId="0" xfId="0" applyFont="1" applyFill="1" applyBorder="1" applyAlignment="1">
      <alignment horizontal="left" vertical="center" wrapText="1"/>
    </xf>
    <xf numFmtId="165" fontId="31" fillId="2" borderId="0" xfId="15" applyNumberFormat="1" applyFont="1" applyFill="1" applyBorder="1" applyAlignment="1">
      <alignment horizontal="right" vertical="center"/>
    </xf>
    <xf numFmtId="0" fontId="2" fillId="0" borderId="0" xfId="0" applyFont="1" applyAlignment="1">
      <alignment horizontal="center"/>
    </xf>
    <xf numFmtId="3" fontId="2" fillId="0" borderId="0" xfId="0" applyNumberFormat="1" applyFont="1" applyAlignment="1">
      <alignment/>
    </xf>
    <xf numFmtId="3" fontId="2" fillId="0" borderId="0" xfId="0" applyNumberFormat="1" applyFont="1" applyAlignment="1">
      <alignment/>
    </xf>
    <xf numFmtId="0" fontId="2" fillId="0" borderId="0" xfId="0" applyFont="1" applyAlignment="1">
      <alignment/>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0" xfId="0" applyFont="1" applyFill="1" applyBorder="1" applyAlignment="1">
      <alignment horizontal="center" vertical="center"/>
    </xf>
    <xf numFmtId="3" fontId="22" fillId="2" borderId="0" xfId="0" applyNumberFormat="1" applyFont="1" applyFill="1" applyBorder="1" applyAlignment="1">
      <alignment horizontal="right" vertical="center"/>
    </xf>
    <xf numFmtId="3" fontId="22" fillId="2" borderId="5" xfId="0" applyNumberFormat="1" applyFont="1" applyFill="1" applyBorder="1" applyAlignment="1">
      <alignment horizontal="right" vertical="center"/>
    </xf>
    <xf numFmtId="0" fontId="60" fillId="2" borderId="6" xfId="0" applyFont="1" applyFill="1" applyBorder="1" applyAlignment="1">
      <alignment horizontal="center" vertical="center"/>
    </xf>
    <xf numFmtId="0" fontId="60" fillId="2" borderId="0" xfId="0" applyFont="1" applyFill="1" applyBorder="1" applyAlignment="1">
      <alignment horizontal="center" vertical="center"/>
    </xf>
    <xf numFmtId="0" fontId="61" fillId="2" borderId="6" xfId="0" applyFont="1" applyFill="1" applyBorder="1" applyAlignment="1">
      <alignment horizontal="center" vertical="center"/>
    </xf>
    <xf numFmtId="0" fontId="61" fillId="2" borderId="0" xfId="0" applyFont="1" applyFill="1" applyBorder="1" applyAlignment="1">
      <alignment horizontal="center" vertical="center"/>
    </xf>
    <xf numFmtId="0" fontId="22" fillId="2" borderId="6" xfId="0" applyFont="1" applyFill="1" applyBorder="1" applyAlignment="1">
      <alignment horizontal="center" vertical="center"/>
    </xf>
    <xf numFmtId="3" fontId="22" fillId="2" borderId="1" xfId="0" applyNumberFormat="1" applyFont="1" applyFill="1" applyBorder="1" applyAlignment="1">
      <alignment horizontal="right" vertical="center"/>
    </xf>
    <xf numFmtId="3" fontId="22" fillId="2" borderId="7" xfId="0" applyNumberFormat="1" applyFont="1" applyFill="1" applyBorder="1" applyAlignment="1">
      <alignment horizontal="right" vertical="center"/>
    </xf>
    <xf numFmtId="0" fontId="33" fillId="2" borderId="0" xfId="0"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0" xfId="0" applyFont="1" applyFill="1" applyBorder="1" applyAlignment="1">
      <alignment horizontal="center" vertical="center"/>
    </xf>
    <xf numFmtId="3" fontId="22" fillId="3" borderId="0"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3" fontId="22" fillId="3" borderId="5" xfId="0" applyNumberFormat="1" applyFont="1" applyFill="1" applyBorder="1" applyAlignment="1">
      <alignment horizontal="right" vertical="center"/>
    </xf>
    <xf numFmtId="0" fontId="22"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31" fillId="2" borderId="0" xfId="0" applyFont="1" applyFill="1" applyAlignment="1">
      <alignment/>
    </xf>
    <xf numFmtId="0" fontId="62" fillId="0" borderId="0" xfId="0" applyFont="1" applyAlignment="1">
      <alignment/>
    </xf>
    <xf numFmtId="0" fontId="4" fillId="0" borderId="0" xfId="0" applyFont="1" applyAlignment="1">
      <alignment vertical="top"/>
    </xf>
    <xf numFmtId="0" fontId="5" fillId="0" borderId="0" xfId="0" applyFont="1" applyAlignment="1">
      <alignment horizontal="center" vertical="center" wrapText="1"/>
    </xf>
    <xf numFmtId="0" fontId="12" fillId="0" borderId="0" xfId="0" applyFont="1" applyAlignment="1">
      <alignment/>
    </xf>
    <xf numFmtId="0" fontId="34" fillId="0" borderId="0" xfId="0" applyFont="1" applyAlignment="1">
      <alignment/>
    </xf>
    <xf numFmtId="0" fontId="26" fillId="0" borderId="0" xfId="0" applyFont="1" applyAlignment="1">
      <alignment horizontal="center" wrapText="1"/>
    </xf>
    <xf numFmtId="0" fontId="48" fillId="0" borderId="0" xfId="0" applyFont="1" applyAlignment="1">
      <alignment/>
    </xf>
    <xf numFmtId="0" fontId="2" fillId="0" borderId="8" xfId="0" applyFont="1" applyBorder="1" applyAlignment="1">
      <alignment horizontal="center" vertical="center" wrapText="1"/>
    </xf>
    <xf numFmtId="3" fontId="30" fillId="4" borderId="0" xfId="0" applyNumberFormat="1" applyFont="1" applyFill="1" applyAlignment="1">
      <alignment/>
    </xf>
    <xf numFmtId="0" fontId="30" fillId="0" borderId="0" xfId="0" applyFont="1" applyAlignment="1">
      <alignment horizontal="center"/>
    </xf>
    <xf numFmtId="0" fontId="2" fillId="0" borderId="9" xfId="0" applyFont="1" applyBorder="1" applyAlignment="1">
      <alignment/>
    </xf>
    <xf numFmtId="3" fontId="30" fillId="4" borderId="9" xfId="0" applyNumberFormat="1" applyFont="1" applyFill="1" applyBorder="1" applyAlignment="1">
      <alignment/>
    </xf>
    <xf numFmtId="0" fontId="30" fillId="0" borderId="9" xfId="0" applyFont="1" applyBorder="1" applyAlignment="1">
      <alignment horizontal="center"/>
    </xf>
    <xf numFmtId="0" fontId="2" fillId="0" borderId="8" xfId="0" applyFont="1" applyBorder="1" applyAlignment="1">
      <alignment/>
    </xf>
    <xf numFmtId="0" fontId="2" fillId="0" borderId="8" xfId="0" applyFont="1" applyBorder="1" applyAlignment="1">
      <alignment horizontal="center"/>
    </xf>
    <xf numFmtId="170" fontId="30" fillId="0" borderId="8" xfId="0" applyNumberFormat="1" applyFont="1" applyBorder="1" applyAlignment="1">
      <alignment horizontal="center"/>
    </xf>
    <xf numFmtId="0" fontId="30" fillId="0" borderId="8" xfId="0" applyFont="1" applyBorder="1" applyAlignment="1">
      <alignment horizontal="center"/>
    </xf>
    <xf numFmtId="0" fontId="2" fillId="0" borderId="10" xfId="0" applyFont="1" applyBorder="1" applyAlignment="1">
      <alignment horizontal="center"/>
    </xf>
    <xf numFmtId="3" fontId="55" fillId="4" borderId="10" xfId="0" applyNumberFormat="1" applyFont="1" applyFill="1" applyBorder="1" applyAlignment="1">
      <alignment/>
    </xf>
    <xf numFmtId="0" fontId="30" fillId="0" borderId="10" xfId="0" applyFont="1" applyBorder="1" applyAlignment="1">
      <alignment horizontal="center"/>
    </xf>
    <xf numFmtId="0" fontId="2" fillId="0" borderId="0" xfId="0" applyFont="1" applyBorder="1" applyAlignment="1">
      <alignment horizontal="center"/>
    </xf>
    <xf numFmtId="3" fontId="55" fillId="4" borderId="0" xfId="0" applyNumberFormat="1" applyFont="1" applyFill="1" applyBorder="1" applyAlignment="1">
      <alignment/>
    </xf>
    <xf numFmtId="0" fontId="1" fillId="0" borderId="0" xfId="0" applyFont="1" applyBorder="1" applyAlignment="1">
      <alignment/>
    </xf>
    <xf numFmtId="3" fontId="30" fillId="4" borderId="10" xfId="0" applyNumberFormat="1" applyFont="1" applyFill="1" applyBorder="1" applyAlignment="1">
      <alignment/>
    </xf>
    <xf numFmtId="3" fontId="30" fillId="4" borderId="0" xfId="0" applyNumberFormat="1" applyFont="1" applyFill="1" applyBorder="1" applyAlignment="1">
      <alignment/>
    </xf>
    <xf numFmtId="0" fontId="30"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xf>
    <xf numFmtId="170" fontId="30" fillId="0" borderId="10" xfId="0" applyNumberFormat="1" applyFont="1" applyBorder="1" applyAlignment="1">
      <alignment horizontal="center"/>
    </xf>
    <xf numFmtId="3" fontId="30" fillId="4" borderId="10" xfId="0" applyNumberFormat="1" applyFont="1" applyFill="1" applyBorder="1" applyAlignment="1">
      <alignment horizontal="center"/>
    </xf>
    <xf numFmtId="3" fontId="30" fillId="4" borderId="9" xfId="0" applyNumberFormat="1" applyFont="1" applyFill="1" applyBorder="1" applyAlignment="1">
      <alignment horizontal="center"/>
    </xf>
    <xf numFmtId="3" fontId="30" fillId="2" borderId="0" xfId="0" applyNumberFormat="1" applyFont="1" applyFill="1" applyBorder="1" applyAlignment="1">
      <alignment/>
    </xf>
    <xf numFmtId="169" fontId="30" fillId="2" borderId="0" xfId="0" applyNumberFormat="1" applyFont="1" applyFill="1" applyBorder="1" applyAlignment="1">
      <alignment horizontal="center"/>
    </xf>
    <xf numFmtId="4" fontId="30" fillId="4" borderId="8" xfId="0" applyNumberFormat="1" applyFont="1" applyFill="1" applyBorder="1" applyAlignment="1">
      <alignment/>
    </xf>
    <xf numFmtId="3" fontId="30" fillId="4" borderId="8" xfId="0" applyNumberFormat="1" applyFont="1" applyFill="1" applyBorder="1" applyAlignment="1">
      <alignment horizontal="center"/>
    </xf>
    <xf numFmtId="0" fontId="68" fillId="0" borderId="0" xfId="0" applyFont="1" applyAlignment="1">
      <alignment/>
    </xf>
    <xf numFmtId="0" fontId="69" fillId="0" borderId="0" xfId="0" applyFont="1" applyAlignment="1">
      <alignment/>
    </xf>
    <xf numFmtId="0" fontId="1" fillId="3" borderId="11" xfId="0" applyFont="1" applyFill="1" applyBorder="1" applyAlignment="1">
      <alignment/>
    </xf>
    <xf numFmtId="0" fontId="2"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165" fontId="4" fillId="3" borderId="16" xfId="15" applyNumberFormat="1" applyFont="1" applyFill="1" applyBorder="1" applyAlignment="1">
      <alignment vertical="center"/>
    </xf>
    <xf numFmtId="165" fontId="4" fillId="3" borderId="17" xfId="15" applyNumberFormat="1" applyFont="1" applyFill="1" applyBorder="1" applyAlignment="1">
      <alignment vertical="center"/>
    </xf>
    <xf numFmtId="0" fontId="2" fillId="3" borderId="18" xfId="0" applyFont="1" applyFill="1" applyBorder="1" applyAlignment="1">
      <alignment vertical="center" wrapText="1"/>
    </xf>
    <xf numFmtId="165" fontId="5" fillId="3" borderId="19" xfId="15" applyNumberFormat="1" applyFont="1" applyFill="1" applyBorder="1" applyAlignment="1">
      <alignment vertical="center"/>
    </xf>
    <xf numFmtId="165" fontId="5" fillId="3" borderId="20" xfId="15" applyNumberFormat="1" applyFont="1" applyFill="1" applyBorder="1" applyAlignment="1">
      <alignment vertical="center"/>
    </xf>
    <xf numFmtId="0" fontId="6" fillId="3" borderId="11" xfId="0" applyFont="1" applyFill="1" applyBorder="1" applyAlignment="1">
      <alignment horizontal="center"/>
    </xf>
    <xf numFmtId="0" fontId="6" fillId="3" borderId="13" xfId="0" applyFont="1" applyFill="1" applyBorder="1" applyAlignment="1">
      <alignment horizontal="center"/>
    </xf>
    <xf numFmtId="0" fontId="6" fillId="3" borderId="18" xfId="0" applyFont="1" applyFill="1" applyBorder="1" applyAlignment="1">
      <alignment horizontal="center"/>
    </xf>
    <xf numFmtId="0" fontId="2" fillId="3" borderId="11" xfId="0" applyFont="1" applyFill="1" applyBorder="1" applyAlignment="1">
      <alignment horizontal="center" wrapText="1"/>
    </xf>
    <xf numFmtId="0" fontId="2" fillId="3" borderId="21" xfId="0" applyFont="1" applyFill="1" applyBorder="1" applyAlignment="1">
      <alignment horizontal="center" vertical="center" wrapText="1"/>
    </xf>
    <xf numFmtId="0" fontId="2" fillId="3" borderId="13" xfId="0" applyFont="1" applyFill="1" applyBorder="1" applyAlignment="1">
      <alignment horizontal="left" wrapText="1"/>
    </xf>
    <xf numFmtId="165" fontId="2" fillId="3" borderId="16" xfId="15" applyNumberFormat="1" applyFont="1" applyFill="1" applyBorder="1" applyAlignment="1">
      <alignment vertical="center"/>
    </xf>
    <xf numFmtId="164" fontId="2" fillId="3" borderId="16" xfId="15" applyNumberFormat="1" applyFont="1" applyFill="1" applyBorder="1" applyAlignment="1">
      <alignment vertical="center"/>
    </xf>
    <xf numFmtId="164" fontId="2" fillId="3" borderId="17" xfId="15" applyNumberFormat="1" applyFont="1" applyFill="1" applyBorder="1" applyAlignment="1">
      <alignment vertical="center"/>
    </xf>
    <xf numFmtId="0" fontId="1" fillId="3" borderId="13" xfId="0" applyFont="1" applyFill="1" applyBorder="1" applyAlignment="1">
      <alignment horizontal="left" vertical="center" wrapText="1"/>
    </xf>
    <xf numFmtId="165" fontId="1" fillId="3" borderId="16" xfId="15" applyNumberFormat="1" applyFont="1" applyFill="1" applyBorder="1" applyAlignment="1">
      <alignment vertical="center"/>
    </xf>
    <xf numFmtId="164" fontId="1" fillId="3" borderId="16" xfId="15" applyNumberFormat="1" applyFont="1" applyFill="1" applyBorder="1" applyAlignment="1">
      <alignment vertical="center"/>
    </xf>
    <xf numFmtId="164" fontId="1" fillId="3" borderId="17" xfId="15" applyNumberFormat="1" applyFont="1" applyFill="1" applyBorder="1" applyAlignment="1">
      <alignment vertical="center"/>
    </xf>
    <xf numFmtId="165" fontId="2" fillId="3" borderId="19" xfId="0" applyNumberFormat="1" applyFont="1" applyFill="1" applyBorder="1" applyAlignment="1">
      <alignment vertical="center"/>
    </xf>
    <xf numFmtId="0" fontId="2" fillId="3" borderId="19" xfId="0" applyFont="1" applyFill="1" applyBorder="1" applyAlignment="1">
      <alignment vertical="center"/>
    </xf>
    <xf numFmtId="164" fontId="2" fillId="3" borderId="20" xfId="15" applyNumberFormat="1" applyFont="1" applyFill="1" applyBorder="1" applyAlignment="1">
      <alignment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22" fillId="3" borderId="13" xfId="0" applyFont="1" applyFill="1" applyBorder="1" applyAlignment="1">
      <alignment horizontal="center" vertical="center"/>
    </xf>
    <xf numFmtId="165" fontId="22" fillId="3" borderId="16" xfId="15" applyNumberFormat="1" applyFont="1" applyFill="1" applyBorder="1" applyAlignment="1">
      <alignment horizontal="center" vertical="center"/>
    </xf>
    <xf numFmtId="165" fontId="22" fillId="3" borderId="16" xfId="0" applyNumberFormat="1" applyFont="1" applyFill="1" applyBorder="1" applyAlignment="1">
      <alignment horizontal="center" vertical="center"/>
    </xf>
    <xf numFmtId="164" fontId="22" fillId="3" borderId="16" xfId="0" applyNumberFormat="1" applyFont="1" applyFill="1" applyBorder="1" applyAlignment="1">
      <alignment horizontal="center" vertical="center"/>
    </xf>
    <xf numFmtId="164" fontId="22" fillId="3" borderId="17" xfId="0" applyNumberFormat="1" applyFont="1" applyFill="1" applyBorder="1" applyAlignment="1">
      <alignment horizontal="center" vertical="center"/>
    </xf>
    <xf numFmtId="0" fontId="22" fillId="3" borderId="18" xfId="0" applyFont="1" applyFill="1" applyBorder="1" applyAlignment="1">
      <alignment horizontal="center" vertical="center"/>
    </xf>
    <xf numFmtId="165" fontId="22" fillId="3" borderId="19" xfId="15" applyNumberFormat="1" applyFont="1" applyFill="1" applyBorder="1" applyAlignment="1">
      <alignment horizontal="center" vertical="center"/>
    </xf>
    <xf numFmtId="165" fontId="22" fillId="3" borderId="19" xfId="0" applyNumberFormat="1" applyFont="1" applyFill="1" applyBorder="1" applyAlignment="1">
      <alignment horizontal="center" vertical="center"/>
    </xf>
    <xf numFmtId="164" fontId="22" fillId="3" borderId="19" xfId="0" applyNumberFormat="1" applyFont="1" applyFill="1" applyBorder="1" applyAlignment="1">
      <alignment horizontal="center" vertical="center"/>
    </xf>
    <xf numFmtId="164" fontId="22" fillId="3" borderId="20"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6"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40" fillId="3" borderId="16" xfId="0" applyFont="1" applyFill="1" applyBorder="1" applyAlignment="1">
      <alignment horizontal="center" vertical="center" wrapText="1"/>
    </xf>
    <xf numFmtId="0" fontId="41" fillId="3" borderId="17" xfId="0" applyFont="1" applyFill="1" applyBorder="1" applyAlignment="1">
      <alignment horizontal="center" vertical="center" wrapText="1"/>
    </xf>
    <xf numFmtId="0" fontId="12" fillId="3" borderId="13" xfId="0" applyFont="1" applyFill="1" applyBorder="1" applyAlignment="1">
      <alignment horizontal="center"/>
    </xf>
    <xf numFmtId="169" fontId="29" fillId="3" borderId="16" xfId="0" applyNumberFormat="1" applyFont="1" applyFill="1" applyBorder="1" applyAlignment="1">
      <alignment/>
    </xf>
    <xf numFmtId="2" fontId="29" fillId="3" borderId="16" xfId="0" applyNumberFormat="1" applyFont="1" applyFill="1" applyBorder="1" applyAlignment="1">
      <alignment/>
    </xf>
    <xf numFmtId="0" fontId="1" fillId="3" borderId="16" xfId="0" applyFont="1" applyFill="1" applyBorder="1" applyAlignment="1">
      <alignment horizontal="center"/>
    </xf>
    <xf numFmtId="0" fontId="1" fillId="3" borderId="17" xfId="0" applyFont="1" applyFill="1" applyBorder="1" applyAlignment="1">
      <alignment horizontal="center"/>
    </xf>
    <xf numFmtId="170" fontId="29" fillId="3" borderId="16" xfId="0" applyNumberFormat="1" applyFont="1" applyFill="1" applyBorder="1" applyAlignment="1">
      <alignment/>
    </xf>
    <xf numFmtId="3" fontId="29" fillId="3" borderId="16" xfId="0" applyNumberFormat="1" applyFont="1" applyFill="1" applyBorder="1" applyAlignment="1">
      <alignment/>
    </xf>
    <xf numFmtId="170" fontId="29" fillId="3" borderId="17" xfId="0" applyNumberFormat="1" applyFont="1" applyFill="1" applyBorder="1" applyAlignment="1">
      <alignment/>
    </xf>
    <xf numFmtId="0" fontId="12" fillId="3" borderId="18" xfId="0" applyFont="1" applyFill="1" applyBorder="1" applyAlignment="1">
      <alignment horizontal="center"/>
    </xf>
    <xf numFmtId="169" fontId="29" fillId="3" borderId="19" xfId="0" applyNumberFormat="1" applyFont="1" applyFill="1" applyBorder="1" applyAlignment="1">
      <alignment/>
    </xf>
    <xf numFmtId="2" fontId="29" fillId="3" borderId="19" xfId="0" applyNumberFormat="1" applyFont="1" applyFill="1" applyBorder="1" applyAlignment="1">
      <alignment/>
    </xf>
    <xf numFmtId="170" fontId="29" fillId="3" borderId="19" xfId="0" applyNumberFormat="1" applyFont="1" applyFill="1" applyBorder="1" applyAlignment="1">
      <alignment/>
    </xf>
    <xf numFmtId="3" fontId="29" fillId="3" borderId="19" xfId="0" applyNumberFormat="1" applyFont="1" applyFill="1" applyBorder="1" applyAlignment="1">
      <alignment/>
    </xf>
    <xf numFmtId="170" fontId="29" fillId="3" borderId="20" xfId="0" applyNumberFormat="1" applyFont="1" applyFill="1" applyBorder="1" applyAlignment="1">
      <alignment/>
    </xf>
    <xf numFmtId="0" fontId="40" fillId="3" borderId="17" xfId="0" applyFont="1" applyFill="1" applyBorder="1" applyAlignment="1">
      <alignment horizontal="center" vertical="center" wrapText="1"/>
    </xf>
    <xf numFmtId="167" fontId="30" fillId="3" borderId="13" xfId="15" applyNumberFormat="1" applyFont="1" applyFill="1" applyBorder="1" applyAlignment="1">
      <alignment vertical="center"/>
    </xf>
    <xf numFmtId="3" fontId="32" fillId="3" borderId="16" xfId="15" applyNumberFormat="1" applyFont="1" applyFill="1" applyBorder="1" applyAlignment="1">
      <alignment horizontal="right" vertical="center"/>
    </xf>
    <xf numFmtId="43" fontId="32" fillId="3" borderId="17" xfId="15" applyFont="1" applyFill="1" applyBorder="1" applyAlignment="1">
      <alignment horizontal="center" vertical="center"/>
    </xf>
    <xf numFmtId="167" fontId="30" fillId="3" borderId="18" xfId="15" applyNumberFormat="1" applyFont="1" applyFill="1" applyBorder="1" applyAlignment="1">
      <alignment vertical="center"/>
    </xf>
    <xf numFmtId="3" fontId="36" fillId="3" borderId="19" xfId="15" applyNumberFormat="1" applyFont="1" applyFill="1" applyBorder="1" applyAlignment="1">
      <alignment horizontal="right" vertical="center"/>
    </xf>
    <xf numFmtId="0" fontId="9" fillId="3" borderId="11" xfId="0" applyFont="1" applyFill="1" applyBorder="1" applyAlignment="1">
      <alignment horizontal="left" vertical="center"/>
    </xf>
    <xf numFmtId="0" fontId="9" fillId="3" borderId="13" xfId="0" applyFont="1" applyFill="1" applyBorder="1" applyAlignment="1">
      <alignment horizontal="left"/>
    </xf>
    <xf numFmtId="168" fontId="48" fillId="3" borderId="16" xfId="15" applyNumberFormat="1" applyFont="1" applyFill="1" applyBorder="1" applyAlignment="1">
      <alignment horizontal="center" vertical="center" wrapText="1"/>
    </xf>
    <xf numFmtId="168" fontId="48" fillId="3" borderId="17" xfId="15" applyNumberFormat="1" applyFont="1" applyFill="1" applyBorder="1" applyAlignment="1">
      <alignment horizontal="center" vertical="center" wrapText="1"/>
    </xf>
    <xf numFmtId="0" fontId="49" fillId="3" borderId="13" xfId="0" applyFont="1" applyFill="1" applyBorder="1" applyAlignment="1">
      <alignment horizontal="left"/>
    </xf>
    <xf numFmtId="168" fontId="50" fillId="3" borderId="16" xfId="15" applyNumberFormat="1" applyFont="1" applyFill="1" applyBorder="1" applyAlignment="1">
      <alignment horizontal="center" vertical="center" wrapText="1"/>
    </xf>
    <xf numFmtId="168" fontId="50" fillId="3" borderId="17" xfId="15" applyNumberFormat="1" applyFont="1" applyFill="1" applyBorder="1" applyAlignment="1">
      <alignment horizontal="center" vertical="center" wrapText="1"/>
    </xf>
    <xf numFmtId="0" fontId="9" fillId="3" borderId="18" xfId="0" applyFont="1" applyFill="1" applyBorder="1" applyAlignment="1">
      <alignment horizontal="left"/>
    </xf>
    <xf numFmtId="168" fontId="9" fillId="3" borderId="19" xfId="0" applyNumberFormat="1" applyFont="1" applyFill="1" applyBorder="1" applyAlignment="1">
      <alignment horizontal="center"/>
    </xf>
    <xf numFmtId="168" fontId="9" fillId="3" borderId="19" xfId="15" applyNumberFormat="1" applyFont="1" applyFill="1" applyBorder="1" applyAlignment="1">
      <alignment horizontal="center" vertical="center"/>
    </xf>
    <xf numFmtId="168" fontId="9" fillId="3" borderId="20" xfId="15" applyNumberFormat="1" applyFont="1" applyFill="1" applyBorder="1" applyAlignment="1">
      <alignment horizontal="center" vertical="center"/>
    </xf>
    <xf numFmtId="0" fontId="9" fillId="3" borderId="11" xfId="0" applyFont="1" applyFill="1" applyBorder="1" applyAlignment="1">
      <alignment horizontal="left"/>
    </xf>
    <xf numFmtId="0" fontId="9" fillId="3" borderId="24" xfId="0" applyFont="1" applyFill="1" applyBorder="1" applyAlignment="1">
      <alignment horizontal="center" vertical="center" wrapText="1"/>
    </xf>
    <xf numFmtId="167" fontId="48" fillId="3" borderId="16" xfId="15" applyNumberFormat="1" applyFont="1" applyFill="1" applyBorder="1" applyAlignment="1">
      <alignment horizontal="center" vertical="center" wrapText="1"/>
    </xf>
    <xf numFmtId="167" fontId="48" fillId="3" borderId="25" xfId="15" applyNumberFormat="1" applyFont="1" applyFill="1" applyBorder="1" applyAlignment="1">
      <alignment horizontal="center" vertical="center" wrapText="1"/>
    </xf>
    <xf numFmtId="167" fontId="48" fillId="3" borderId="17" xfId="15" applyNumberFormat="1" applyFont="1" applyFill="1" applyBorder="1" applyAlignment="1">
      <alignment horizontal="center" vertical="center" wrapText="1"/>
    </xf>
    <xf numFmtId="167" fontId="9" fillId="3" borderId="19" xfId="15" applyNumberFormat="1" applyFont="1" applyFill="1" applyBorder="1" applyAlignment="1">
      <alignment horizontal="center" vertical="center"/>
    </xf>
    <xf numFmtId="167" fontId="9" fillId="3" borderId="20" xfId="15" applyNumberFormat="1" applyFont="1" applyFill="1" applyBorder="1" applyAlignment="1">
      <alignment horizontal="center" vertical="center"/>
    </xf>
    <xf numFmtId="168" fontId="48" fillId="3" borderId="25" xfId="15" applyNumberFormat="1" applyFont="1" applyFill="1" applyBorder="1" applyAlignment="1">
      <alignment horizontal="center" vertical="center" wrapText="1"/>
    </xf>
    <xf numFmtId="168" fontId="50" fillId="3" borderId="25" xfId="15" applyNumberFormat="1" applyFont="1" applyFill="1" applyBorder="1" applyAlignment="1">
      <alignment horizontal="center" vertical="center" wrapText="1"/>
    </xf>
    <xf numFmtId="0" fontId="30" fillId="3" borderId="11" xfId="0" applyFont="1" applyFill="1" applyBorder="1" applyAlignment="1">
      <alignment horizontal="left" vertical="center" wrapText="1"/>
    </xf>
    <xf numFmtId="0" fontId="2" fillId="3" borderId="12" xfId="15" applyNumberFormat="1"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13" xfId="0" applyFont="1" applyFill="1" applyBorder="1" applyAlignment="1">
      <alignment horizontal="left" vertical="center" wrapText="1"/>
    </xf>
    <xf numFmtId="165" fontId="2" fillId="3" borderId="16" xfId="15" applyNumberFormat="1" applyFont="1" applyFill="1" applyBorder="1" applyAlignment="1">
      <alignment horizontal="center" vertical="center"/>
    </xf>
    <xf numFmtId="3" fontId="57" fillId="3" borderId="16" xfId="0" applyNumberFormat="1" applyFont="1" applyFill="1" applyBorder="1" applyAlignment="1">
      <alignment horizontal="right" vertical="center" wrapText="1"/>
    </xf>
    <xf numFmtId="3" fontId="26" fillId="3" borderId="16" xfId="0" applyNumberFormat="1" applyFont="1" applyFill="1" applyBorder="1" applyAlignment="1">
      <alignment horizontal="right" vertical="center" wrapText="1"/>
    </xf>
    <xf numFmtId="0" fontId="30" fillId="3" borderId="18" xfId="0" applyFont="1" applyFill="1" applyBorder="1" applyAlignment="1">
      <alignment horizontal="left" vertical="center" wrapText="1"/>
    </xf>
    <xf numFmtId="165" fontId="2" fillId="3" borderId="19" xfId="15" applyNumberFormat="1" applyFont="1" applyFill="1" applyBorder="1" applyAlignment="1">
      <alignment horizontal="center" vertical="center"/>
    </xf>
    <xf numFmtId="0" fontId="32" fillId="3" borderId="13" xfId="0" applyFont="1" applyFill="1" applyBorder="1" applyAlignment="1">
      <alignment/>
    </xf>
    <xf numFmtId="3" fontId="32" fillId="3" borderId="16" xfId="0" applyNumberFormat="1" applyFont="1" applyFill="1" applyBorder="1" applyAlignment="1">
      <alignment horizontal="right"/>
    </xf>
    <xf numFmtId="6" fontId="32" fillId="3" borderId="16" xfId="0" applyNumberFormat="1" applyFont="1" applyFill="1" applyBorder="1" applyAlignment="1">
      <alignment horizontal="right"/>
    </xf>
    <xf numFmtId="42" fontId="32" fillId="3" borderId="16" xfId="15" applyNumberFormat="1" applyFont="1" applyFill="1" applyBorder="1" applyAlignment="1">
      <alignment horizontal="right"/>
    </xf>
    <xf numFmtId="165" fontId="31" fillId="3" borderId="11" xfId="15" applyNumberFormat="1" applyFont="1" applyFill="1" applyBorder="1" applyAlignment="1">
      <alignment horizontal="center" vertical="center"/>
    </xf>
    <xf numFmtId="165" fontId="22" fillId="3" borderId="12" xfId="15" applyNumberFormat="1" applyFont="1" applyFill="1" applyBorder="1" applyAlignment="1">
      <alignment horizontal="center" vertical="center"/>
    </xf>
    <xf numFmtId="165" fontId="22" fillId="3" borderId="21" xfId="15" applyNumberFormat="1" applyFont="1" applyFill="1" applyBorder="1" applyAlignment="1">
      <alignment horizontal="center" vertical="center"/>
    </xf>
    <xf numFmtId="0" fontId="40" fillId="3" borderId="13" xfId="0" applyFont="1" applyFill="1" applyBorder="1" applyAlignment="1">
      <alignment horizontal="left" vertical="center" wrapText="1"/>
    </xf>
    <xf numFmtId="165" fontId="31" fillId="3" borderId="16" xfId="15" applyNumberFormat="1" applyFont="1" applyFill="1" applyBorder="1" applyAlignment="1">
      <alignment horizontal="right" vertical="center"/>
    </xf>
    <xf numFmtId="165" fontId="31" fillId="3" borderId="17" xfId="15" applyNumberFormat="1" applyFont="1" applyFill="1" applyBorder="1" applyAlignment="1">
      <alignment horizontal="right" vertical="center"/>
    </xf>
    <xf numFmtId="0" fontId="1" fillId="3" borderId="6" xfId="0" applyFont="1" applyFill="1" applyBorder="1" applyAlignment="1">
      <alignment wrapText="1"/>
    </xf>
    <xf numFmtId="42" fontId="2" fillId="3" borderId="0" xfId="0" applyNumberFormat="1" applyFont="1" applyFill="1" applyBorder="1" applyAlignment="1">
      <alignment horizontal="center" vertical="center" wrapText="1"/>
    </xf>
    <xf numFmtId="2" fontId="2" fillId="3" borderId="0" xfId="0" applyNumberFormat="1" applyFont="1" applyFill="1" applyBorder="1" applyAlignment="1">
      <alignment horizontal="right" vertical="center" wrapText="1"/>
    </xf>
    <xf numFmtId="2" fontId="2" fillId="3" borderId="0" xfId="0" applyNumberFormat="1" applyFont="1" applyFill="1" applyBorder="1" applyAlignment="1">
      <alignment vertical="center" wrapText="1"/>
    </xf>
    <xf numFmtId="0" fontId="1" fillId="3" borderId="0" xfId="0" applyFont="1" applyFill="1" applyBorder="1" applyAlignment="1">
      <alignment wrapText="1"/>
    </xf>
    <xf numFmtId="0" fontId="1" fillId="3" borderId="5" xfId="0" applyFont="1" applyFill="1" applyBorder="1" applyAlignment="1">
      <alignment/>
    </xf>
    <xf numFmtId="0" fontId="1" fillId="3" borderId="6" xfId="0" applyFont="1" applyFill="1" applyBorder="1" applyAlignment="1">
      <alignment/>
    </xf>
    <xf numFmtId="0" fontId="2" fillId="3" borderId="0" xfId="0" applyFont="1" applyFill="1" applyBorder="1" applyAlignment="1">
      <alignment/>
    </xf>
    <xf numFmtId="165" fontId="2" fillId="3" borderId="0" xfId="15" applyNumberFormat="1" applyFont="1" applyFill="1" applyBorder="1" applyAlignment="1">
      <alignment/>
    </xf>
    <xf numFmtId="0" fontId="2" fillId="3" borderId="5" xfId="0" applyFont="1" applyFill="1" applyBorder="1" applyAlignment="1">
      <alignment/>
    </xf>
    <xf numFmtId="0" fontId="1" fillId="3" borderId="6" xfId="0" applyFont="1" applyFill="1" applyBorder="1" applyAlignment="1">
      <alignment horizontal="right"/>
    </xf>
    <xf numFmtId="43" fontId="2" fillId="3" borderId="0" xfId="15" applyNumberFormat="1" applyFont="1" applyFill="1" applyBorder="1" applyAlignment="1">
      <alignment/>
    </xf>
    <xf numFmtId="0" fontId="1" fillId="3" borderId="26" xfId="0" applyFont="1" applyFill="1" applyBorder="1" applyAlignment="1">
      <alignment/>
    </xf>
    <xf numFmtId="0" fontId="2" fillId="3" borderId="1" xfId="0" applyFont="1" applyFill="1" applyBorder="1" applyAlignment="1">
      <alignment/>
    </xf>
    <xf numFmtId="43" fontId="2" fillId="3" borderId="1" xfId="15" applyNumberFormat="1" applyFont="1" applyFill="1" applyBorder="1" applyAlignment="1">
      <alignment/>
    </xf>
    <xf numFmtId="0" fontId="2" fillId="3" borderId="7" xfId="0" applyFont="1" applyFill="1" applyBorder="1" applyAlignment="1">
      <alignment/>
    </xf>
    <xf numFmtId="0" fontId="40" fillId="3" borderId="11" xfId="0" applyFont="1" applyFill="1" applyBorder="1" applyAlignment="1">
      <alignment horizontal="left" vertical="center" wrapText="1"/>
    </xf>
    <xf numFmtId="0" fontId="40" fillId="3" borderId="12"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21" xfId="0" applyFont="1" applyFill="1" applyBorder="1" applyAlignment="1">
      <alignment horizontal="center" vertical="center" wrapText="1"/>
    </xf>
    <xf numFmtId="0" fontId="40" fillId="3" borderId="13" xfId="0" applyFont="1" applyFill="1" applyBorder="1" applyAlignment="1">
      <alignment horizontal="left" vertical="center"/>
    </xf>
    <xf numFmtId="167" fontId="59" fillId="3" borderId="16" xfId="15" applyNumberFormat="1" applyFont="1" applyFill="1" applyBorder="1" applyAlignment="1">
      <alignment horizontal="right" vertical="center"/>
    </xf>
    <xf numFmtId="169" fontId="59" fillId="3" borderId="16" xfId="15" applyNumberFormat="1" applyFont="1" applyFill="1" applyBorder="1" applyAlignment="1">
      <alignment horizontal="right" vertical="center"/>
    </xf>
    <xf numFmtId="167" fontId="59" fillId="3" borderId="16" xfId="15" applyNumberFormat="1" applyFont="1" applyFill="1" applyBorder="1" applyAlignment="1">
      <alignment horizontal="center" vertical="center"/>
    </xf>
    <xf numFmtId="169" fontId="59" fillId="3" borderId="17" xfId="15" applyNumberFormat="1" applyFont="1" applyFill="1" applyBorder="1" applyAlignment="1">
      <alignment horizontal="right" vertical="center"/>
    </xf>
    <xf numFmtId="0" fontId="40" fillId="3" borderId="18" xfId="0" applyFont="1" applyFill="1" applyBorder="1" applyAlignment="1">
      <alignment horizontal="left" vertical="center"/>
    </xf>
    <xf numFmtId="167" fontId="40" fillId="3" borderId="19" xfId="15" applyNumberFormat="1" applyFont="1" applyFill="1" applyBorder="1" applyAlignment="1">
      <alignment horizontal="center" vertical="center"/>
    </xf>
    <xf numFmtId="169" fontId="40" fillId="3" borderId="19" xfId="15" applyNumberFormat="1" applyFont="1" applyFill="1" applyBorder="1" applyAlignment="1">
      <alignment horizontal="right" vertical="center"/>
    </xf>
    <xf numFmtId="168" fontId="40" fillId="3" borderId="20" xfId="15" applyNumberFormat="1" applyFont="1" applyFill="1" applyBorder="1" applyAlignment="1">
      <alignment horizontal="center" vertical="center"/>
    </xf>
    <xf numFmtId="0" fontId="30" fillId="3" borderId="12" xfId="0" applyFont="1" applyFill="1" applyBorder="1" applyAlignment="1">
      <alignment horizontal="center" vertical="center"/>
    </xf>
    <xf numFmtId="3" fontId="30" fillId="3" borderId="27" xfId="15" applyNumberFormat="1" applyFont="1" applyFill="1" applyBorder="1" applyAlignment="1">
      <alignment horizontal="right" vertical="center"/>
    </xf>
    <xf numFmtId="3" fontId="30" fillId="3" borderId="16" xfId="15" applyNumberFormat="1" applyFont="1" applyFill="1" applyBorder="1" applyAlignment="1">
      <alignment horizontal="right" vertical="center"/>
    </xf>
    <xf numFmtId="3" fontId="2" fillId="3" borderId="17" xfId="15" applyNumberFormat="1" applyFont="1" applyFill="1" applyBorder="1" applyAlignment="1">
      <alignment horizontal="right" vertical="center"/>
    </xf>
    <xf numFmtId="167" fontId="30" fillId="3" borderId="19" xfId="15" applyNumberFormat="1" applyFont="1" applyFill="1" applyBorder="1" applyAlignment="1">
      <alignment horizontal="center" vertical="center"/>
    </xf>
    <xf numFmtId="167" fontId="2" fillId="3" borderId="20" xfId="15" applyNumberFormat="1" applyFont="1" applyFill="1" applyBorder="1" applyAlignment="1">
      <alignment horizontal="center" vertical="center"/>
    </xf>
    <xf numFmtId="0" fontId="55" fillId="0" borderId="0" xfId="0" applyFont="1" applyAlignment="1">
      <alignment/>
    </xf>
    <xf numFmtId="0" fontId="2" fillId="4" borderId="13" xfId="0" applyFont="1" applyFill="1" applyBorder="1" applyAlignment="1">
      <alignment horizontal="center" vertical="center"/>
    </xf>
    <xf numFmtId="168" fontId="1" fillId="4" borderId="16" xfId="15" applyNumberFormat="1" applyFont="1" applyFill="1" applyBorder="1" applyAlignment="1">
      <alignment horizontal="right" vertical="center"/>
    </xf>
    <xf numFmtId="169" fontId="1" fillId="4" borderId="16" xfId="15" applyNumberFormat="1" applyFont="1" applyFill="1" applyBorder="1" applyAlignment="1">
      <alignment horizontal="right" vertical="center"/>
    </xf>
    <xf numFmtId="169" fontId="2" fillId="4" borderId="16" xfId="15" applyNumberFormat="1" applyFont="1" applyFill="1" applyBorder="1" applyAlignment="1">
      <alignment horizontal="right" vertical="center"/>
    </xf>
    <xf numFmtId="168" fontId="1" fillId="4" borderId="17" xfId="15" applyNumberFormat="1" applyFont="1" applyFill="1" applyBorder="1" applyAlignment="1">
      <alignment horizontal="right" vertical="center"/>
    </xf>
    <xf numFmtId="0" fontId="2" fillId="4" borderId="13" xfId="0" applyFont="1" applyFill="1" applyBorder="1" applyAlignment="1">
      <alignment horizontal="centerContinuous" vertical="center"/>
    </xf>
    <xf numFmtId="170" fontId="55" fillId="4" borderId="16" xfId="15" applyNumberFormat="1" applyFont="1" applyFill="1" applyBorder="1" applyAlignment="1">
      <alignment horizontal="right" vertical="center"/>
    </xf>
    <xf numFmtId="0" fontId="30" fillId="4" borderId="18" xfId="0" applyFont="1" applyFill="1" applyBorder="1" applyAlignment="1">
      <alignment horizontal="centerContinuous" vertical="center"/>
    </xf>
    <xf numFmtId="168" fontId="55" fillId="4" borderId="19" xfId="15" applyNumberFormat="1" applyFont="1" applyFill="1" applyBorder="1" applyAlignment="1">
      <alignment horizontal="right" vertical="center"/>
    </xf>
    <xf numFmtId="170" fontId="55" fillId="4" borderId="19" xfId="15" applyNumberFormat="1" applyFont="1" applyFill="1" applyBorder="1" applyAlignment="1">
      <alignment horizontal="right" vertical="center"/>
    </xf>
    <xf numFmtId="169" fontId="55" fillId="4" borderId="19" xfId="15" applyNumberFormat="1" applyFont="1" applyFill="1" applyBorder="1" applyAlignment="1">
      <alignment horizontal="right" vertical="center"/>
    </xf>
    <xf numFmtId="169" fontId="30" fillId="4" borderId="19" xfId="15" applyNumberFormat="1" applyFont="1" applyFill="1" applyBorder="1" applyAlignment="1">
      <alignment horizontal="right" vertical="center"/>
    </xf>
    <xf numFmtId="168" fontId="55" fillId="4" borderId="20" xfId="15" applyNumberFormat="1" applyFont="1" applyFill="1" applyBorder="1" applyAlignment="1">
      <alignment horizontal="right" vertical="center"/>
    </xf>
    <xf numFmtId="0" fontId="49" fillId="4" borderId="16" xfId="0" applyFont="1" applyFill="1" applyBorder="1" applyAlignment="1">
      <alignment horizontal="center" vertical="center" wrapText="1"/>
    </xf>
    <xf numFmtId="0" fontId="40" fillId="4" borderId="13" xfId="0" applyFont="1" applyFill="1" applyBorder="1" applyAlignment="1">
      <alignment horizontal="center" vertical="center"/>
    </xf>
    <xf numFmtId="169" fontId="40" fillId="4" borderId="16" xfId="15" applyNumberFormat="1" applyFont="1" applyFill="1" applyBorder="1" applyAlignment="1">
      <alignment horizontal="right" vertical="center"/>
    </xf>
    <xf numFmtId="169" fontId="40" fillId="4" borderId="16" xfId="15" applyNumberFormat="1" applyFont="1" applyFill="1" applyBorder="1" applyAlignment="1">
      <alignment horizontal="center" vertical="center"/>
    </xf>
    <xf numFmtId="169" fontId="40" fillId="4" borderId="17" xfId="15" applyNumberFormat="1" applyFont="1" applyFill="1" applyBorder="1" applyAlignment="1">
      <alignment horizontal="right" vertical="center"/>
    </xf>
    <xf numFmtId="0" fontId="40" fillId="4" borderId="13" xfId="0" applyFont="1" applyFill="1" applyBorder="1" applyAlignment="1">
      <alignment horizontal="centerContinuous" vertical="center"/>
    </xf>
    <xf numFmtId="0" fontId="40" fillId="4" borderId="18" xfId="0" applyFont="1" applyFill="1" applyBorder="1" applyAlignment="1">
      <alignment horizontal="centerContinuous" vertical="center"/>
    </xf>
    <xf numFmtId="169" fontId="40" fillId="4" borderId="19" xfId="15" applyNumberFormat="1" applyFont="1" applyFill="1" applyBorder="1" applyAlignment="1">
      <alignment horizontal="center" vertical="center"/>
    </xf>
    <xf numFmtId="169" fontId="59" fillId="4" borderId="16" xfId="15" applyNumberFormat="1" applyFont="1" applyFill="1" applyBorder="1" applyAlignment="1">
      <alignment horizontal="right" vertical="center"/>
    </xf>
    <xf numFmtId="169" fontId="59" fillId="4" borderId="19" xfId="15" applyNumberFormat="1" applyFont="1" applyFill="1" applyBorder="1" applyAlignment="1">
      <alignment horizontal="right" vertical="center"/>
    </xf>
    <xf numFmtId="169" fontId="59" fillId="4" borderId="17" xfId="15" applyNumberFormat="1" applyFont="1" applyFill="1" applyBorder="1" applyAlignment="1">
      <alignment horizontal="right" vertical="center"/>
    </xf>
    <xf numFmtId="169" fontId="59" fillId="4" borderId="20" xfId="15" applyNumberFormat="1" applyFont="1" applyFill="1" applyBorder="1" applyAlignment="1">
      <alignment horizontal="right" vertical="center"/>
    </xf>
    <xf numFmtId="0" fontId="49" fillId="4" borderId="23" xfId="0" applyFont="1" applyFill="1" applyBorder="1" applyAlignment="1">
      <alignment horizontal="center" vertical="center" wrapText="1"/>
    </xf>
    <xf numFmtId="0" fontId="49" fillId="4" borderId="28" xfId="0" applyFont="1" applyFill="1" applyBorder="1" applyAlignment="1">
      <alignment horizontal="center" vertical="center" wrapText="1"/>
    </xf>
    <xf numFmtId="0" fontId="1" fillId="4" borderId="22" xfId="0" applyFont="1" applyFill="1" applyBorder="1" applyAlignment="1">
      <alignment/>
    </xf>
    <xf numFmtId="0" fontId="1" fillId="4" borderId="29" xfId="0" applyFont="1" applyFill="1" applyBorder="1" applyAlignment="1">
      <alignment/>
    </xf>
    <xf numFmtId="0" fontId="1" fillId="0" borderId="0" xfId="0" applyFont="1" applyAlignment="1">
      <alignment/>
    </xf>
    <xf numFmtId="0" fontId="4" fillId="0" borderId="0" xfId="0" applyFont="1" applyAlignment="1">
      <alignment horizontal="center" vertical="center" wrapText="1"/>
    </xf>
    <xf numFmtId="0" fontId="49" fillId="4" borderId="13" xfId="0" applyFont="1" applyFill="1" applyBorder="1" applyAlignment="1">
      <alignment horizontal="left" vertical="center"/>
    </xf>
    <xf numFmtId="196" fontId="31" fillId="4" borderId="16" xfId="15" applyNumberFormat="1" applyFont="1" applyFill="1" applyBorder="1" applyAlignment="1">
      <alignment horizontal="right"/>
    </xf>
    <xf numFmtId="196" fontId="31" fillId="4" borderId="17" xfId="15" applyNumberFormat="1" applyFont="1" applyFill="1" applyBorder="1" applyAlignment="1">
      <alignment horizontal="right"/>
    </xf>
    <xf numFmtId="0" fontId="49" fillId="4" borderId="18" xfId="0" applyFont="1" applyFill="1" applyBorder="1" applyAlignment="1">
      <alignment horizontal="left" vertical="center"/>
    </xf>
    <xf numFmtId="196" fontId="31" fillId="4" borderId="19" xfId="15" applyNumberFormat="1" applyFont="1" applyFill="1" applyBorder="1" applyAlignment="1">
      <alignment horizontal="right"/>
    </xf>
    <xf numFmtId="196" fontId="31" fillId="4" borderId="20" xfId="15" applyNumberFormat="1" applyFont="1" applyFill="1" applyBorder="1" applyAlignment="1">
      <alignment horizontal="right"/>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2" xfId="0" applyNumberFormat="1" applyFont="1" applyFill="1" applyBorder="1" applyAlignment="1">
      <alignment horizontal="center" vertical="center" wrapText="1"/>
    </xf>
    <xf numFmtId="0" fontId="9" fillId="4" borderId="21" xfId="0" applyNumberFormat="1" applyFont="1" applyFill="1" applyBorder="1" applyAlignment="1">
      <alignment horizontal="center" vertical="center" wrapText="1"/>
    </xf>
    <xf numFmtId="0" fontId="40" fillId="2" borderId="0" xfId="0" applyFont="1" applyFill="1" applyBorder="1" applyAlignment="1">
      <alignment vertical="center"/>
    </xf>
    <xf numFmtId="0" fontId="49" fillId="2" borderId="0" xfId="0" applyFont="1" applyFill="1" applyBorder="1" applyAlignment="1">
      <alignment vertical="center"/>
    </xf>
    <xf numFmtId="0" fontId="45" fillId="0" borderId="0" xfId="0" applyFont="1" applyAlignment="1">
      <alignment horizontal="center" wrapText="1"/>
    </xf>
    <xf numFmtId="0" fontId="15" fillId="0" borderId="0" xfId="0" applyFont="1" applyAlignment="1">
      <alignment horizontal="center" wrapText="1"/>
    </xf>
    <xf numFmtId="0" fontId="33" fillId="0" borderId="0" xfId="0" applyFont="1" applyAlignment="1">
      <alignment/>
    </xf>
    <xf numFmtId="0" fontId="49" fillId="3" borderId="16" xfId="0" applyFont="1" applyFill="1" applyBorder="1" applyAlignment="1">
      <alignment horizontal="center" vertical="center"/>
    </xf>
    <xf numFmtId="0" fontId="40" fillId="3" borderId="16" xfId="0" applyFont="1" applyFill="1" applyBorder="1" applyAlignment="1">
      <alignment horizontal="center" vertical="center"/>
    </xf>
    <xf numFmtId="0" fontId="40" fillId="3" borderId="17" xfId="0" applyFont="1" applyFill="1" applyBorder="1" applyAlignment="1">
      <alignment horizontal="center" vertical="center"/>
    </xf>
    <xf numFmtId="0" fontId="40" fillId="3" borderId="13" xfId="0" applyFont="1" applyFill="1" applyBorder="1" applyAlignment="1">
      <alignment vertical="center"/>
    </xf>
    <xf numFmtId="3" fontId="31" fillId="3" borderId="16" xfId="0" applyNumberFormat="1" applyFont="1" applyFill="1" applyBorder="1" applyAlignment="1">
      <alignment horizontal="right" vertical="center"/>
    </xf>
    <xf numFmtId="3" fontId="31" fillId="3" borderId="17" xfId="0" applyNumberFormat="1" applyFont="1" applyFill="1" applyBorder="1" applyAlignment="1">
      <alignment horizontal="right" vertical="center"/>
    </xf>
    <xf numFmtId="0" fontId="40" fillId="3" borderId="18" xfId="0" applyFont="1" applyFill="1" applyBorder="1" applyAlignment="1">
      <alignment vertical="center"/>
    </xf>
    <xf numFmtId="3" fontId="22" fillId="3" borderId="19" xfId="0" applyNumberFormat="1" applyFont="1" applyFill="1" applyBorder="1" applyAlignment="1">
      <alignment horizontal="right" vertical="center"/>
    </xf>
    <xf numFmtId="3" fontId="22" fillId="3" borderId="20" xfId="0" applyNumberFormat="1" applyFont="1" applyFill="1" applyBorder="1" applyAlignment="1">
      <alignment horizontal="right" vertical="center"/>
    </xf>
    <xf numFmtId="3" fontId="59" fillId="3" borderId="19" xfId="0" applyNumberFormat="1" applyFont="1" applyFill="1" applyBorder="1" applyAlignment="1">
      <alignment horizontal="right" vertical="center"/>
    </xf>
    <xf numFmtId="3" fontId="59" fillId="3" borderId="20" xfId="0" applyNumberFormat="1" applyFont="1" applyFill="1" applyBorder="1" applyAlignment="1">
      <alignment horizontal="right" vertical="center"/>
    </xf>
    <xf numFmtId="0" fontId="72" fillId="0" borderId="0" xfId="0" applyFont="1" applyAlignment="1">
      <alignment horizontal="center" wrapText="1"/>
    </xf>
    <xf numFmtId="0" fontId="4" fillId="3" borderId="0" xfId="0" applyFont="1" applyFill="1" applyBorder="1" applyAlignment="1">
      <alignment/>
    </xf>
    <xf numFmtId="0" fontId="73" fillId="3" borderId="2"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73" fillId="3" borderId="6" xfId="0" applyFont="1" applyFill="1" applyBorder="1" applyAlignment="1">
      <alignment/>
    </xf>
    <xf numFmtId="0" fontId="4" fillId="3" borderId="5" xfId="0" applyFont="1" applyFill="1" applyBorder="1" applyAlignment="1">
      <alignment/>
    </xf>
    <xf numFmtId="0" fontId="1" fillId="0" borderId="0" xfId="0" applyFont="1" applyAlignment="1">
      <alignment horizontal="center"/>
    </xf>
    <xf numFmtId="0" fontId="72" fillId="5" borderId="0" xfId="0" applyFont="1" applyFill="1" applyAlignment="1">
      <alignment horizontal="center"/>
    </xf>
    <xf numFmtId="0" fontId="1" fillId="5" borderId="0" xfId="0" applyFont="1" applyFill="1" applyAlignment="1">
      <alignment horizontal="center"/>
    </xf>
    <xf numFmtId="0" fontId="77" fillId="5" borderId="30" xfId="0" applyFont="1" applyFill="1" applyBorder="1" applyAlignment="1">
      <alignment horizontal="center"/>
    </xf>
    <xf numFmtId="0" fontId="77" fillId="5" borderId="0" xfId="0" applyFont="1" applyFill="1" applyBorder="1" applyAlignment="1">
      <alignment horizontal="center"/>
    </xf>
    <xf numFmtId="0" fontId="78" fillId="5" borderId="31" xfId="0" applyFont="1" applyFill="1" applyBorder="1" applyAlignment="1">
      <alignment horizontal="center"/>
    </xf>
    <xf numFmtId="0" fontId="77" fillId="5" borderId="31" xfId="0" applyFont="1" applyFill="1" applyBorder="1" applyAlignment="1">
      <alignment horizontal="center"/>
    </xf>
    <xf numFmtId="0" fontId="77" fillId="5" borderId="32" xfId="0" applyFont="1" applyFill="1" applyBorder="1" applyAlignment="1">
      <alignment horizontal="center"/>
    </xf>
    <xf numFmtId="0" fontId="77" fillId="5" borderId="33" xfId="0" applyFont="1" applyFill="1" applyBorder="1" applyAlignment="1">
      <alignment horizontal="center"/>
    </xf>
    <xf numFmtId="0" fontId="77" fillId="5" borderId="34" xfId="0" applyFont="1" applyFill="1" applyBorder="1" applyAlignment="1">
      <alignment horizontal="center"/>
    </xf>
    <xf numFmtId="0" fontId="77" fillId="5" borderId="35" xfId="0" applyFont="1" applyFill="1" applyBorder="1" applyAlignment="1">
      <alignment horizontal="center"/>
    </xf>
    <xf numFmtId="0" fontId="77" fillId="5" borderId="36" xfId="0" applyFont="1" applyFill="1" applyBorder="1" applyAlignment="1">
      <alignment horizontal="center"/>
    </xf>
    <xf numFmtId="0" fontId="77" fillId="5" borderId="0" xfId="0" applyFont="1" applyFill="1" applyAlignment="1">
      <alignment horizontal="center"/>
    </xf>
    <xf numFmtId="0" fontId="78" fillId="5" borderId="34" xfId="0" applyFont="1" applyFill="1" applyBorder="1" applyAlignment="1">
      <alignment horizontal="center"/>
    </xf>
    <xf numFmtId="0" fontId="1" fillId="5" borderId="0" xfId="0" applyFont="1" applyFill="1" applyBorder="1" applyAlignment="1">
      <alignment horizontal="center"/>
    </xf>
    <xf numFmtId="0" fontId="79" fillId="5" borderId="0" xfId="0" applyFont="1" applyFill="1" applyBorder="1" applyAlignment="1">
      <alignment horizontal="center"/>
    </xf>
    <xf numFmtId="0" fontId="2" fillId="5" borderId="0" xfId="0" applyFont="1" applyFill="1" applyAlignment="1">
      <alignment horizontal="center"/>
    </xf>
    <xf numFmtId="0" fontId="76" fillId="5" borderId="0" xfId="0" applyFont="1" applyFill="1" applyAlignment="1">
      <alignment/>
    </xf>
    <xf numFmtId="0" fontId="1" fillId="5" borderId="0" xfId="0" applyFont="1" applyFill="1" applyAlignment="1">
      <alignment/>
    </xf>
    <xf numFmtId="0" fontId="77" fillId="5" borderId="0" xfId="0" applyFont="1" applyFill="1" applyBorder="1" applyAlignment="1">
      <alignment horizontal="center" wrapText="1"/>
    </xf>
    <xf numFmtId="0" fontId="1" fillId="4" borderId="0" xfId="0" applyFont="1" applyFill="1" applyAlignment="1">
      <alignment horizontal="left"/>
    </xf>
    <xf numFmtId="0" fontId="2" fillId="4" borderId="37" xfId="0" applyFont="1" applyFill="1" applyBorder="1" applyAlignment="1">
      <alignment horizontal="center" wrapText="1"/>
    </xf>
    <xf numFmtId="0" fontId="2" fillId="4" borderId="37" xfId="0" applyFont="1" applyFill="1" applyBorder="1" applyAlignment="1">
      <alignment wrapText="1"/>
    </xf>
    <xf numFmtId="0" fontId="30" fillId="4" borderId="0" xfId="0" applyFont="1" applyFill="1" applyAlignment="1">
      <alignment horizontal="left" vertical="center" wrapText="1"/>
    </xf>
    <xf numFmtId="0" fontId="2" fillId="4" borderId="0" xfId="0" applyFont="1" applyFill="1" applyAlignment="1">
      <alignment wrapText="1"/>
    </xf>
    <xf numFmtId="0" fontId="2" fillId="4" borderId="0" xfId="0" applyFont="1" applyFill="1" applyAlignment="1">
      <alignment horizontal="center"/>
    </xf>
    <xf numFmtId="0" fontId="2" fillId="4" borderId="0" xfId="0" applyFont="1" applyFill="1" applyAlignment="1" quotePrefix="1">
      <alignment horizontal="center"/>
    </xf>
    <xf numFmtId="0" fontId="2" fillId="4" borderId="0" xfId="0" applyFont="1" applyFill="1" applyAlignment="1" quotePrefix="1">
      <alignment horizontal="right" wrapText="1"/>
    </xf>
    <xf numFmtId="0" fontId="2" fillId="4" borderId="0" xfId="0" applyFont="1" applyFill="1" applyAlignment="1">
      <alignment horizontal="right" wrapText="1"/>
    </xf>
    <xf numFmtId="0" fontId="80" fillId="2" borderId="0" xfId="0" applyFont="1" applyFill="1" applyAlignment="1">
      <alignment/>
    </xf>
    <xf numFmtId="0" fontId="40" fillId="0" borderId="0" xfId="0" applyFont="1" applyAlignment="1">
      <alignment/>
    </xf>
    <xf numFmtId="0" fontId="22" fillId="0" borderId="0" xfId="0" applyFont="1" applyAlignment="1">
      <alignment horizontal="right"/>
    </xf>
    <xf numFmtId="169" fontId="31" fillId="3" borderId="16" xfId="0" applyNumberFormat="1" applyFont="1" applyFill="1" applyBorder="1" applyAlignment="1">
      <alignment horizontal="right" vertical="center"/>
    </xf>
    <xf numFmtId="169" fontId="31" fillId="3" borderId="16" xfId="0" applyNumberFormat="1" applyFont="1" applyFill="1" applyBorder="1" applyAlignment="1">
      <alignment horizontal="center" vertical="center"/>
    </xf>
    <xf numFmtId="184" fontId="31" fillId="3" borderId="16" xfId="0" applyNumberFormat="1" applyFont="1" applyFill="1" applyBorder="1" applyAlignment="1">
      <alignment horizontal="center" vertical="center"/>
    </xf>
    <xf numFmtId="0" fontId="22" fillId="3" borderId="16" xfId="0" applyFont="1" applyFill="1" applyBorder="1" applyAlignment="1">
      <alignment horizontal="center" vertical="center"/>
    </xf>
    <xf numFmtId="169" fontId="31" fillId="3" borderId="17" xfId="0" applyNumberFormat="1" applyFont="1" applyFill="1" applyBorder="1" applyAlignment="1">
      <alignment horizontal="center" vertical="center"/>
    </xf>
    <xf numFmtId="169" fontId="22" fillId="3" borderId="17" xfId="0" applyNumberFormat="1" applyFont="1" applyFill="1" applyBorder="1" applyAlignment="1">
      <alignment horizontal="center" vertical="center"/>
    </xf>
    <xf numFmtId="169" fontId="31" fillId="3" borderId="19" xfId="0" applyNumberFormat="1" applyFont="1" applyFill="1" applyBorder="1" applyAlignment="1">
      <alignment horizontal="right" vertical="center"/>
    </xf>
    <xf numFmtId="169" fontId="31" fillId="3" borderId="19" xfId="0" applyNumberFormat="1" applyFont="1" applyFill="1" applyBorder="1" applyAlignment="1">
      <alignment horizontal="center" vertical="center"/>
    </xf>
    <xf numFmtId="184" fontId="31" fillId="3" borderId="19" xfId="0" applyNumberFormat="1" applyFont="1" applyFill="1" applyBorder="1" applyAlignment="1">
      <alignment horizontal="center" vertical="center"/>
    </xf>
    <xf numFmtId="0" fontId="22" fillId="3" borderId="19" xfId="0" applyFont="1" applyFill="1" applyBorder="1" applyAlignment="1">
      <alignment horizontal="center" vertical="center"/>
    </xf>
    <xf numFmtId="184" fontId="59" fillId="3" borderId="19" xfId="0" applyNumberFormat="1" applyFont="1" applyFill="1" applyBorder="1" applyAlignment="1">
      <alignment horizontal="center" vertical="center"/>
    </xf>
    <xf numFmtId="169" fontId="22" fillId="3" borderId="20" xfId="0" applyNumberFormat="1" applyFont="1" applyFill="1" applyBorder="1" applyAlignment="1">
      <alignment horizontal="center" vertical="center"/>
    </xf>
    <xf numFmtId="0" fontId="95" fillId="0" borderId="0" xfId="0" applyFont="1" applyBorder="1" applyAlignment="1">
      <alignment/>
    </xf>
    <xf numFmtId="0" fontId="42" fillId="2" borderId="0" xfId="0" applyFont="1" applyFill="1" applyBorder="1" applyAlignment="1">
      <alignment horizontal="center" vertical="center"/>
    </xf>
    <xf numFmtId="184" fontId="95" fillId="2" borderId="0" xfId="0" applyNumberFormat="1" applyFont="1" applyFill="1" applyBorder="1" applyAlignment="1">
      <alignment horizontal="center" vertical="center"/>
    </xf>
    <xf numFmtId="165" fontId="32" fillId="3" borderId="17" xfId="15" applyNumberFormat="1" applyFont="1" applyFill="1" applyBorder="1" applyAlignment="1">
      <alignment horizontal="center" vertical="center"/>
    </xf>
    <xf numFmtId="165" fontId="36" fillId="3" borderId="20" xfId="15" applyNumberFormat="1" applyFont="1" applyFill="1" applyBorder="1" applyAlignment="1">
      <alignment horizontal="center" vertical="center"/>
    </xf>
    <xf numFmtId="0" fontId="2" fillId="3" borderId="13" xfId="0" applyFont="1" applyFill="1" applyBorder="1" applyAlignment="1">
      <alignment vertical="center" wrapText="1"/>
    </xf>
    <xf numFmtId="0" fontId="2" fillId="3" borderId="15" xfId="0" applyFont="1" applyFill="1" applyBorder="1" applyAlignment="1">
      <alignment vertical="center"/>
    </xf>
    <xf numFmtId="3" fontId="35" fillId="0" borderId="0" xfId="0" applyNumberFormat="1" applyFont="1" applyBorder="1" applyAlignment="1">
      <alignment/>
    </xf>
    <xf numFmtId="0" fontId="2" fillId="4" borderId="18" xfId="0" applyFont="1" applyFill="1" applyBorder="1" applyAlignment="1">
      <alignment horizontal="centerContinuous" vertical="center"/>
    </xf>
    <xf numFmtId="168" fontId="1" fillId="4" borderId="19" xfId="15" applyNumberFormat="1" applyFont="1" applyFill="1" applyBorder="1" applyAlignment="1">
      <alignment horizontal="right" vertical="center"/>
    </xf>
    <xf numFmtId="169" fontId="1" fillId="4" borderId="19" xfId="15" applyNumberFormat="1" applyFont="1" applyFill="1" applyBorder="1" applyAlignment="1">
      <alignment horizontal="right" vertical="center"/>
    </xf>
    <xf numFmtId="169" fontId="2" fillId="4" borderId="19" xfId="15" applyNumberFormat="1" applyFont="1" applyFill="1" applyBorder="1" applyAlignment="1">
      <alignment horizontal="right" vertical="center"/>
    </xf>
    <xf numFmtId="168" fontId="1" fillId="4" borderId="20" xfId="15" applyNumberFormat="1" applyFont="1" applyFill="1" applyBorder="1" applyAlignment="1">
      <alignment horizontal="right" vertical="center"/>
    </xf>
    <xf numFmtId="0" fontId="0" fillId="0" borderId="6" xfId="0" applyBorder="1" applyAlignment="1">
      <alignment/>
    </xf>
    <xf numFmtId="0" fontId="0" fillId="0" borderId="0" xfId="0" applyBorder="1" applyAlignment="1">
      <alignment/>
    </xf>
    <xf numFmtId="0" fontId="0" fillId="0" borderId="5" xfId="0" applyBorder="1" applyAlignment="1">
      <alignment/>
    </xf>
    <xf numFmtId="0" fontId="5" fillId="0" borderId="11" xfId="0" applyFont="1" applyBorder="1" applyAlignment="1">
      <alignment horizontal="center" vertical="center"/>
    </xf>
    <xf numFmtId="0" fontId="5" fillId="0" borderId="21" xfId="0" applyFont="1" applyBorder="1" applyAlignment="1">
      <alignment horizontal="center" vertical="center"/>
    </xf>
    <xf numFmtId="1" fontId="2" fillId="0" borderId="13" xfId="0" applyNumberFormat="1" applyFont="1" applyBorder="1" applyAlignment="1">
      <alignment horizontal="center"/>
    </xf>
    <xf numFmtId="43" fontId="1" fillId="0" borderId="17" xfId="15" applyFont="1" applyBorder="1" applyAlignment="1">
      <alignment horizontal="center"/>
    </xf>
    <xf numFmtId="43" fontId="1" fillId="0" borderId="20" xfId="15" applyFont="1" applyBorder="1" applyAlignment="1">
      <alignment/>
    </xf>
    <xf numFmtId="1" fontId="22" fillId="0" borderId="18" xfId="0" applyNumberFormat="1" applyFont="1" applyBorder="1" applyAlignment="1">
      <alignment horizontal="center" vertical="center" wrapText="1"/>
    </xf>
    <xf numFmtId="165" fontId="32" fillId="3" borderId="16" xfId="15" applyNumberFormat="1" applyFont="1" applyFill="1" applyBorder="1" applyAlignment="1">
      <alignment horizontal="center" vertical="center"/>
    </xf>
    <xf numFmtId="165" fontId="36" fillId="3" borderId="19" xfId="15" applyNumberFormat="1" applyFont="1" applyFill="1" applyBorder="1" applyAlignment="1">
      <alignment horizontal="center" vertical="center"/>
    </xf>
    <xf numFmtId="0" fontId="69" fillId="0" borderId="0" xfId="0" applyFont="1" applyBorder="1" applyAlignment="1">
      <alignment/>
    </xf>
    <xf numFmtId="0" fontId="68" fillId="0" borderId="0" xfId="0" applyFont="1" applyBorder="1" applyAlignment="1">
      <alignment/>
    </xf>
    <xf numFmtId="0" fontId="109" fillId="0" borderId="0" xfId="0" applyFont="1" applyBorder="1" applyAlignment="1">
      <alignment horizontal="center" vertical="center" wrapText="1"/>
    </xf>
    <xf numFmtId="41" fontId="1" fillId="0" borderId="0" xfId="0" applyNumberFormat="1" applyFont="1" applyBorder="1" applyAlignment="1">
      <alignment vertical="center"/>
    </xf>
    <xf numFmtId="41" fontId="1" fillId="0" borderId="0" xfId="15" applyNumberFormat="1" applyFont="1" applyAlignment="1">
      <alignment horizontal="right"/>
    </xf>
    <xf numFmtId="165" fontId="2" fillId="0" borderId="0" xfId="15" applyNumberFormat="1" applyFont="1" applyBorder="1" applyAlignment="1" quotePrefix="1">
      <alignment horizontal="center"/>
    </xf>
    <xf numFmtId="41" fontId="2" fillId="0" borderId="0" xfId="15" applyNumberFormat="1" applyFont="1" applyBorder="1" applyAlignment="1">
      <alignment horizontal="centerContinuous" vertical="center"/>
    </xf>
    <xf numFmtId="165" fontId="1" fillId="0" borderId="0" xfId="15" applyNumberFormat="1" applyFont="1" applyAlignment="1">
      <alignment/>
    </xf>
    <xf numFmtId="0" fontId="2" fillId="4" borderId="13" xfId="0" applyFont="1" applyFill="1" applyBorder="1" applyAlignment="1" quotePrefix="1">
      <alignment horizontal="center" vertical="center"/>
    </xf>
    <xf numFmtId="0" fontId="2" fillId="4" borderId="16" xfId="0" applyFont="1" applyFill="1" applyBorder="1" applyAlignment="1">
      <alignment vertical="center"/>
    </xf>
    <xf numFmtId="41" fontId="1" fillId="4" borderId="16" xfId="0" applyNumberFormat="1" applyFont="1" applyFill="1" applyBorder="1" applyAlignment="1">
      <alignment vertical="center"/>
    </xf>
    <xf numFmtId="41" fontId="1" fillId="4" borderId="17" xfId="0" applyNumberFormat="1" applyFont="1" applyFill="1" applyBorder="1" applyAlignment="1">
      <alignment vertical="center"/>
    </xf>
    <xf numFmtId="0" fontId="2" fillId="4" borderId="18" xfId="0" applyFont="1" applyFill="1" applyBorder="1" applyAlignment="1">
      <alignment horizontal="center" vertical="center"/>
    </xf>
    <xf numFmtId="0" fontId="2" fillId="4" borderId="19" xfId="0" applyFont="1" applyFill="1" applyBorder="1" applyAlignment="1">
      <alignment vertical="center"/>
    </xf>
    <xf numFmtId="41" fontId="1" fillId="4" borderId="19" xfId="0" applyNumberFormat="1" applyFont="1" applyFill="1" applyBorder="1" applyAlignment="1">
      <alignment vertical="center"/>
    </xf>
    <xf numFmtId="41" fontId="1" fillId="4" borderId="20" xfId="0" applyNumberFormat="1" applyFont="1" applyFill="1" applyBorder="1" applyAlignment="1">
      <alignment vertical="center"/>
    </xf>
    <xf numFmtId="0" fontId="2" fillId="4" borderId="16" xfId="0" applyFont="1" applyFill="1" applyBorder="1" applyAlignment="1" quotePrefix="1">
      <alignment horizontal="left" vertical="center"/>
    </xf>
    <xf numFmtId="0" fontId="2" fillId="4" borderId="16" xfId="0" applyFont="1" applyFill="1" applyBorder="1" applyAlignment="1">
      <alignment horizontal="left" vertical="center"/>
    </xf>
    <xf numFmtId="41" fontId="2" fillId="4" borderId="19" xfId="0" applyNumberFormat="1" applyFont="1" applyFill="1" applyBorder="1" applyAlignment="1">
      <alignment vertical="center"/>
    </xf>
    <xf numFmtId="0" fontId="2" fillId="4" borderId="19" xfId="0" applyFont="1" applyFill="1" applyBorder="1" applyAlignment="1" quotePrefix="1">
      <alignment horizontal="center" vertical="center" wrapText="1"/>
    </xf>
    <xf numFmtId="0" fontId="35" fillId="0" borderId="0" xfId="20" applyFont="1" applyAlignment="1">
      <alignment vertical="center"/>
      <protection/>
    </xf>
    <xf numFmtId="0" fontId="35" fillId="0" borderId="0" xfId="20" applyFont="1">
      <alignment/>
      <protection/>
    </xf>
    <xf numFmtId="165" fontId="35" fillId="0" borderId="0" xfId="20" applyNumberFormat="1" applyFont="1" applyAlignment="1">
      <alignment vertical="center"/>
      <protection/>
    </xf>
    <xf numFmtId="0" fontId="1" fillId="0" borderId="0" xfId="20" applyFont="1" applyBorder="1" applyAlignment="1">
      <alignment vertical="top"/>
      <protection/>
    </xf>
    <xf numFmtId="0" fontId="31" fillId="0" borderId="0" xfId="20" applyFont="1" applyBorder="1" applyAlignment="1" quotePrefix="1">
      <alignment vertical="center"/>
      <protection/>
    </xf>
    <xf numFmtId="165" fontId="22" fillId="0" borderId="0" xfId="17" applyNumberFormat="1" applyFont="1" applyBorder="1" applyAlignment="1">
      <alignment/>
    </xf>
    <xf numFmtId="0" fontId="2" fillId="0" borderId="0" xfId="20" applyFont="1" applyAlignment="1">
      <alignment horizontal="right" vertical="center"/>
      <protection/>
    </xf>
    <xf numFmtId="0" fontId="1" fillId="0" borderId="0" xfId="20" applyFont="1">
      <alignment/>
      <protection/>
    </xf>
    <xf numFmtId="0" fontId="2" fillId="0" borderId="0" xfId="20" applyFont="1" applyBorder="1" applyAlignment="1">
      <alignment horizontal="right" vertical="center"/>
      <protection/>
    </xf>
    <xf numFmtId="1" fontId="35" fillId="0" borderId="0" xfId="20" applyNumberFormat="1" applyFont="1" applyAlignment="1">
      <alignment vertical="center"/>
      <protection/>
    </xf>
    <xf numFmtId="165" fontId="114" fillId="0" borderId="0" xfId="17" applyNumberFormat="1" applyFont="1" applyBorder="1" applyAlignment="1">
      <alignment horizontal="right" wrapText="1"/>
    </xf>
    <xf numFmtId="165" fontId="115" fillId="0" borderId="0" xfId="17" applyNumberFormat="1" applyFont="1" applyBorder="1" applyAlignment="1">
      <alignment horizontal="right" wrapText="1"/>
    </xf>
    <xf numFmtId="165" fontId="31" fillId="0" borderId="0" xfId="17" applyNumberFormat="1" applyFont="1" applyBorder="1" applyAlignment="1">
      <alignment/>
    </xf>
    <xf numFmtId="0" fontId="22" fillId="0" borderId="0" xfId="20" applyFont="1" applyBorder="1">
      <alignment/>
      <protection/>
    </xf>
    <xf numFmtId="0" fontId="1" fillId="0" borderId="0" xfId="20" applyFont="1" applyAlignment="1">
      <alignment vertical="top"/>
      <protection/>
    </xf>
    <xf numFmtId="165" fontId="1" fillId="0" borderId="0" xfId="17" applyNumberFormat="1" applyFont="1" applyAlignment="1">
      <alignment/>
    </xf>
    <xf numFmtId="165" fontId="31" fillId="0" borderId="0" xfId="17" applyNumberFormat="1" applyFont="1" applyFill="1" applyBorder="1" applyAlignment="1">
      <alignment/>
    </xf>
    <xf numFmtId="0" fontId="35" fillId="0" borderId="0" xfId="20" applyFont="1" applyAlignment="1">
      <alignment vertical="top"/>
      <protection/>
    </xf>
    <xf numFmtId="165" fontId="1" fillId="0" borderId="0" xfId="20" applyNumberFormat="1" applyFont="1">
      <alignment/>
      <protection/>
    </xf>
    <xf numFmtId="0" fontId="31" fillId="4" borderId="16" xfId="20" applyFont="1" applyFill="1" applyBorder="1" applyAlignment="1">
      <alignment vertical="center"/>
      <protection/>
    </xf>
    <xf numFmtId="0" fontId="2" fillId="4" borderId="16" xfId="20" applyFont="1" applyFill="1" applyBorder="1" applyAlignment="1">
      <alignment vertical="center"/>
      <protection/>
    </xf>
    <xf numFmtId="165" fontId="114" fillId="4" borderId="16" xfId="17" applyNumberFormat="1" applyFont="1" applyFill="1" applyBorder="1" applyAlignment="1">
      <alignment horizontal="right" wrapText="1"/>
    </xf>
    <xf numFmtId="165" fontId="114" fillId="4" borderId="17" xfId="17" applyNumberFormat="1" applyFont="1" applyFill="1" applyBorder="1" applyAlignment="1">
      <alignment horizontal="right" wrapText="1"/>
    </xf>
    <xf numFmtId="0" fontId="31" fillId="4" borderId="16" xfId="20" applyFont="1" applyFill="1" applyBorder="1" applyAlignment="1" quotePrefix="1">
      <alignment horizontal="left"/>
      <protection/>
    </xf>
    <xf numFmtId="165" fontId="31" fillId="4" borderId="16" xfId="17" applyNumberFormat="1" applyFont="1" applyFill="1" applyBorder="1" applyAlignment="1">
      <alignment/>
    </xf>
    <xf numFmtId="41" fontId="31" fillId="4" borderId="17" xfId="20" applyNumberFormat="1" applyFont="1" applyFill="1" applyBorder="1">
      <alignment/>
      <protection/>
    </xf>
    <xf numFmtId="0" fontId="31" fillId="4" borderId="16" xfId="20" applyFont="1" applyFill="1" applyBorder="1" applyAlignment="1" quotePrefix="1">
      <alignment vertical="center"/>
      <protection/>
    </xf>
    <xf numFmtId="165" fontId="22" fillId="4" borderId="16" xfId="17" applyNumberFormat="1" applyFont="1" applyFill="1" applyBorder="1" applyAlignment="1">
      <alignment/>
    </xf>
    <xf numFmtId="165" fontId="22" fillId="4" borderId="17" xfId="17" applyNumberFormat="1" applyFont="1" applyFill="1" applyBorder="1" applyAlignment="1">
      <alignment/>
    </xf>
    <xf numFmtId="0" fontId="31" fillId="4" borderId="19" xfId="20" applyFont="1" applyFill="1" applyBorder="1" applyAlignment="1" quotePrefix="1">
      <alignment vertical="center"/>
      <protection/>
    </xf>
    <xf numFmtId="165" fontId="22" fillId="4" borderId="19" xfId="17" applyNumberFormat="1" applyFont="1" applyFill="1" applyBorder="1" applyAlignment="1">
      <alignment/>
    </xf>
    <xf numFmtId="165" fontId="22" fillId="4" borderId="20" xfId="17" applyNumberFormat="1" applyFont="1" applyFill="1" applyBorder="1" applyAlignment="1">
      <alignment/>
    </xf>
    <xf numFmtId="0" fontId="22" fillId="4" borderId="29" xfId="20" applyFont="1" applyFill="1" applyBorder="1" applyAlignment="1">
      <alignment horizontal="center" vertical="center"/>
      <protection/>
    </xf>
    <xf numFmtId="0" fontId="22" fillId="4" borderId="38" xfId="20" applyFont="1" applyFill="1" applyBorder="1" applyAlignment="1">
      <alignment horizontal="center" vertical="center"/>
      <protection/>
    </xf>
    <xf numFmtId="0" fontId="31" fillId="4" borderId="28" xfId="20" applyFont="1" applyFill="1" applyBorder="1" applyAlignment="1">
      <alignment horizontal="center" vertical="center"/>
      <protection/>
    </xf>
    <xf numFmtId="0" fontId="22" fillId="4" borderId="22" xfId="20" applyFont="1" applyFill="1" applyBorder="1" applyAlignment="1">
      <alignment horizontal="center" vertical="center"/>
      <protection/>
    </xf>
    <xf numFmtId="0" fontId="22" fillId="4" borderId="39" xfId="20" applyFont="1" applyFill="1" applyBorder="1" applyAlignment="1">
      <alignment horizontal="center" vertical="center"/>
      <protection/>
    </xf>
    <xf numFmtId="0" fontId="31" fillId="4" borderId="39" xfId="20" applyFont="1" applyFill="1" applyBorder="1" applyAlignment="1">
      <alignment horizontal="center" vertical="center"/>
      <protection/>
    </xf>
    <xf numFmtId="0" fontId="31" fillId="4" borderId="23" xfId="20" applyFont="1" applyFill="1" applyBorder="1" applyAlignment="1">
      <alignment horizontal="center" vertical="center"/>
      <protection/>
    </xf>
    <xf numFmtId="0" fontId="22" fillId="4" borderId="22" xfId="20" applyFont="1" applyFill="1" applyBorder="1" applyAlignment="1">
      <alignment horizontal="centerContinuous"/>
      <protection/>
    </xf>
    <xf numFmtId="0" fontId="22" fillId="4" borderId="39" xfId="20" applyFont="1" applyFill="1" applyBorder="1" applyAlignment="1">
      <alignment horizontal="centerContinuous"/>
      <protection/>
    </xf>
    <xf numFmtId="0" fontId="31" fillId="4" borderId="39" xfId="20" applyFont="1" applyFill="1" applyBorder="1" applyAlignment="1">
      <alignment horizontal="center"/>
      <protection/>
    </xf>
    <xf numFmtId="0" fontId="31" fillId="4" borderId="23" xfId="20" applyFont="1" applyFill="1" applyBorder="1" applyAlignment="1">
      <alignment vertical="center"/>
      <protection/>
    </xf>
    <xf numFmtId="0" fontId="31" fillId="4" borderId="39" xfId="20" applyFont="1" applyFill="1" applyBorder="1" applyAlignment="1">
      <alignment vertical="center"/>
      <protection/>
    </xf>
    <xf numFmtId="0" fontId="31" fillId="4" borderId="38" xfId="20" applyFont="1" applyFill="1" applyBorder="1" applyAlignment="1">
      <alignment horizontal="center" vertical="center"/>
      <protection/>
    </xf>
    <xf numFmtId="165" fontId="2" fillId="4" borderId="20" xfId="17" applyNumberFormat="1" applyFont="1" applyFill="1" applyBorder="1" applyAlignment="1">
      <alignment vertical="center"/>
    </xf>
    <xf numFmtId="165" fontId="1" fillId="0" borderId="0" xfId="0" applyNumberFormat="1" applyFont="1" applyAlignment="1">
      <alignment/>
    </xf>
    <xf numFmtId="4" fontId="1" fillId="0" borderId="0" xfId="0" applyNumberFormat="1" applyFont="1" applyAlignment="1">
      <alignment/>
    </xf>
    <xf numFmtId="0" fontId="81" fillId="0" borderId="0" xfId="0" applyFont="1" applyBorder="1" applyAlignment="1">
      <alignment horizontal="center" wrapText="1"/>
    </xf>
    <xf numFmtId="0" fontId="2" fillId="0" borderId="0" xfId="0" applyFont="1" applyAlignment="1">
      <alignment vertical="center"/>
    </xf>
    <xf numFmtId="0" fontId="1" fillId="0" borderId="0" xfId="0" applyFont="1" applyAlignment="1">
      <alignment vertical="center"/>
    </xf>
    <xf numFmtId="0" fontId="40" fillId="4" borderId="16" xfId="0" applyFont="1" applyFill="1" applyBorder="1" applyAlignment="1">
      <alignment horizontal="center" vertical="center"/>
    </xf>
    <xf numFmtId="0" fontId="40" fillId="4" borderId="13" xfId="0" applyFont="1" applyFill="1" applyBorder="1" applyAlignment="1">
      <alignment vertical="center"/>
    </xf>
    <xf numFmtId="3" fontId="59" fillId="4" borderId="16" xfId="0" applyNumberFormat="1" applyFont="1" applyFill="1" applyBorder="1" applyAlignment="1">
      <alignment horizontal="right" vertical="center"/>
    </xf>
    <xf numFmtId="0" fontId="40" fillId="4" borderId="18" xfId="0" applyFont="1" applyFill="1" applyBorder="1" applyAlignment="1">
      <alignment vertical="center"/>
    </xf>
    <xf numFmtId="3" fontId="40" fillId="4" borderId="19" xfId="0" applyNumberFormat="1" applyFont="1" applyFill="1" applyBorder="1" applyAlignment="1">
      <alignment horizontal="right" vertical="center"/>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65" fontId="1" fillId="4" borderId="18" xfId="15" applyNumberFormat="1" applyFont="1" applyFill="1" applyBorder="1" applyAlignment="1">
      <alignment vertical="center"/>
    </xf>
    <xf numFmtId="4" fontId="1" fillId="4" borderId="19" xfId="0" applyNumberFormat="1" applyFont="1" applyFill="1" applyBorder="1" applyAlignment="1">
      <alignment vertical="center"/>
    </xf>
    <xf numFmtId="4" fontId="1" fillId="4" borderId="20" xfId="0" applyNumberFormat="1" applyFont="1" applyFill="1" applyBorder="1" applyAlignment="1">
      <alignment vertical="center"/>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Alignment="1">
      <alignment vertical="center"/>
    </xf>
    <xf numFmtId="41" fontId="1" fillId="4" borderId="25" xfId="0" applyNumberFormat="1" applyFont="1" applyFill="1" applyBorder="1" applyAlignment="1">
      <alignment vertical="center"/>
    </xf>
    <xf numFmtId="41" fontId="1" fillId="0" borderId="0" xfId="0" applyNumberFormat="1" applyFont="1" applyAlignment="1">
      <alignment/>
    </xf>
    <xf numFmtId="165" fontId="0" fillId="0" borderId="0" xfId="15" applyNumberFormat="1" applyAlignment="1">
      <alignment/>
    </xf>
    <xf numFmtId="165" fontId="35" fillId="0" borderId="0" xfId="15" applyNumberFormat="1" applyFont="1" applyAlignment="1">
      <alignment/>
    </xf>
    <xf numFmtId="0" fontId="61" fillId="3" borderId="18" xfId="0" applyFont="1" applyFill="1" applyBorder="1" applyAlignment="1">
      <alignment horizontal="left" vertical="center" wrapText="1"/>
    </xf>
    <xf numFmtId="165" fontId="120" fillId="3" borderId="19" xfId="15" applyNumberFormat="1" applyFont="1" applyFill="1" applyBorder="1" applyAlignment="1">
      <alignment horizontal="right" vertical="center"/>
    </xf>
    <xf numFmtId="165" fontId="120" fillId="3" borderId="20" xfId="15" applyNumberFormat="1" applyFont="1" applyFill="1" applyBorder="1" applyAlignment="1">
      <alignment horizontal="right" vertical="center"/>
    </xf>
    <xf numFmtId="165" fontId="4" fillId="3" borderId="27" xfId="15" applyNumberFormat="1" applyFont="1" applyFill="1" applyBorder="1" applyAlignment="1">
      <alignment vertical="center" wrapText="1"/>
    </xf>
    <xf numFmtId="165" fontId="4" fillId="3" borderId="25" xfId="15" applyNumberFormat="1" applyFont="1" applyFill="1" applyBorder="1" applyAlignment="1">
      <alignment vertical="center" wrapText="1"/>
    </xf>
    <xf numFmtId="0" fontId="5" fillId="0" borderId="0" xfId="0" applyFont="1" applyAlignment="1">
      <alignment wrapText="1"/>
    </xf>
    <xf numFmtId="0" fontId="87" fillId="0" borderId="0" xfId="0" applyFont="1" applyAlignment="1">
      <alignment horizontal="center"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81" fillId="0" borderId="0" xfId="0" applyFont="1" applyAlignment="1">
      <alignment horizontal="center" vertical="center" wrapText="1"/>
    </xf>
    <xf numFmtId="0" fontId="0" fillId="0" borderId="5" xfId="0" applyBorder="1" applyAlignment="1">
      <alignment vertical="center" wrapText="1"/>
    </xf>
    <xf numFmtId="0" fontId="45" fillId="3" borderId="6" xfId="0" applyFont="1" applyFill="1" applyBorder="1" applyAlignment="1">
      <alignment vertical="center" wrapText="1"/>
    </xf>
    <xf numFmtId="0" fontId="72" fillId="3" borderId="6" xfId="0" applyFont="1" applyFill="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215" fontId="106" fillId="0" borderId="0" xfId="0" applyNumberFormat="1" applyFont="1" applyAlignment="1" quotePrefix="1">
      <alignment horizontal="center" vertical="center" wrapText="1"/>
    </xf>
    <xf numFmtId="215" fontId="106" fillId="0" borderId="0" xfId="0" applyNumberFormat="1" applyFont="1" applyAlignment="1">
      <alignment horizontal="center" vertical="center" wrapText="1"/>
    </xf>
    <xf numFmtId="0" fontId="100" fillId="0" borderId="6" xfId="0" applyFont="1" applyBorder="1" applyAlignment="1">
      <alignment horizontal="center" vertical="center" wrapText="1"/>
    </xf>
    <xf numFmtId="0" fontId="100" fillId="0" borderId="0" xfId="0" applyFont="1" applyBorder="1" applyAlignment="1">
      <alignment horizontal="center" vertical="center" wrapText="1"/>
    </xf>
    <xf numFmtId="0" fontId="100" fillId="0" borderId="5"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5"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1" xfId="0" applyFont="1" applyBorder="1" applyAlignment="1">
      <alignment horizontal="center" vertical="center" wrapText="1"/>
    </xf>
    <xf numFmtId="0" fontId="104" fillId="0" borderId="7" xfId="0" applyFont="1" applyBorder="1" applyAlignment="1">
      <alignment horizontal="center" vertical="center" wrapText="1"/>
    </xf>
    <xf numFmtId="0" fontId="98" fillId="0" borderId="2" xfId="0" applyFont="1" applyBorder="1" applyAlignment="1">
      <alignment horizontal="center" vertical="center" wrapText="1"/>
    </xf>
    <xf numFmtId="0" fontId="98" fillId="0" borderId="3" xfId="0" applyFont="1" applyBorder="1" applyAlignment="1">
      <alignment horizontal="center" vertical="center" wrapText="1"/>
    </xf>
    <xf numFmtId="0" fontId="98" fillId="0" borderId="4" xfId="0" applyFont="1" applyBorder="1" applyAlignment="1">
      <alignment horizontal="center" vertical="center" wrapText="1"/>
    </xf>
    <xf numFmtId="0" fontId="98" fillId="0" borderId="6"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5" xfId="0" applyFont="1" applyBorder="1" applyAlignment="1">
      <alignment horizontal="center" vertical="center" wrapText="1"/>
    </xf>
    <xf numFmtId="0" fontId="99" fillId="0" borderId="6"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5" xfId="0" applyFont="1" applyBorder="1" applyAlignment="1">
      <alignment horizontal="center" vertical="center" wrapText="1"/>
    </xf>
    <xf numFmtId="0" fontId="117" fillId="4" borderId="0" xfId="0" applyFont="1" applyFill="1" applyAlignment="1">
      <alignment horizontal="center" vertical="center" wrapText="1"/>
    </xf>
    <xf numFmtId="0" fontId="118" fillId="4" borderId="0" xfId="0" applyFont="1" applyFill="1" applyAlignment="1">
      <alignment horizontal="center" vertical="center" wrapText="1"/>
    </xf>
    <xf numFmtId="0" fontId="2" fillId="5" borderId="0" xfId="0" applyFont="1" applyFill="1" applyAlignment="1">
      <alignment horizontal="left" wrapText="1"/>
    </xf>
    <xf numFmtId="0" fontId="1" fillId="5" borderId="0" xfId="0" applyFont="1" applyFill="1" applyAlignment="1">
      <alignment horizontal="left" wrapText="1"/>
    </xf>
    <xf numFmtId="0" fontId="81" fillId="5" borderId="0" xfId="0" applyFont="1" applyFill="1" applyAlignment="1">
      <alignment horizontal="center"/>
    </xf>
    <xf numFmtId="0" fontId="77" fillId="5" borderId="40" xfId="0" applyFont="1" applyFill="1" applyBorder="1" applyAlignment="1">
      <alignment horizontal="center" wrapText="1"/>
    </xf>
    <xf numFmtId="0" fontId="1" fillId="5" borderId="41" xfId="0" applyFont="1" applyFill="1" applyBorder="1" applyAlignment="1">
      <alignment horizontal="center" wrapText="1"/>
    </xf>
    <xf numFmtId="0" fontId="72" fillId="3" borderId="26" xfId="0" applyFont="1" applyFill="1" applyBorder="1" applyAlignment="1">
      <alignment vertical="center" wrapText="1"/>
    </xf>
    <xf numFmtId="0" fontId="0" fillId="0" borderId="1" xfId="0" applyBorder="1" applyAlignment="1">
      <alignment vertical="center" wrapText="1"/>
    </xf>
    <xf numFmtId="165" fontId="4" fillId="3" borderId="42" xfId="15" applyNumberFormat="1" applyFont="1" applyFill="1" applyBorder="1" applyAlignment="1">
      <alignment vertical="center" wrapText="1"/>
    </xf>
    <xf numFmtId="165" fontId="6" fillId="3" borderId="43" xfId="15" applyNumberFormat="1" applyFont="1" applyFill="1" applyBorder="1" applyAlignment="1">
      <alignment vertical="center" wrapText="1"/>
    </xf>
    <xf numFmtId="165" fontId="6" fillId="3" borderId="44" xfId="15" applyNumberFormat="1" applyFont="1" applyFill="1" applyBorder="1" applyAlignment="1">
      <alignment vertical="center" wrapText="1"/>
    </xf>
    <xf numFmtId="165" fontId="6" fillId="3" borderId="45" xfId="15" applyNumberFormat="1" applyFont="1" applyFill="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2"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65" fontId="4" fillId="3" borderId="25" xfId="15" applyNumberFormat="1" applyFont="1" applyFill="1" applyBorder="1" applyAlignment="1">
      <alignment horizontal="left" vertical="center" wrapText="1"/>
    </xf>
    <xf numFmtId="165" fontId="4" fillId="3" borderId="42" xfId="15" applyNumberFormat="1" applyFont="1" applyFill="1" applyBorder="1" applyAlignment="1">
      <alignment horizontal="left" vertical="center" wrapText="1"/>
    </xf>
    <xf numFmtId="165" fontId="6" fillId="3" borderId="43" xfId="15" applyNumberFormat="1" applyFont="1" applyFill="1" applyBorder="1" applyAlignment="1">
      <alignment horizontal="left" vertical="center" wrapText="1"/>
    </xf>
    <xf numFmtId="165" fontId="6" fillId="3" borderId="45" xfId="15" applyNumberFormat="1"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0" fillId="0" borderId="0" xfId="0" applyFont="1" applyAlignment="1">
      <alignment horizontal="center"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85" fillId="0" borderId="0" xfId="0" applyFont="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5" fillId="0" borderId="0" xfId="0" applyFont="1" applyBorder="1" applyAlignment="1">
      <alignment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48" fillId="0" borderId="0" xfId="0" applyFont="1" applyAlignment="1">
      <alignment horizontal="justify"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48" fillId="0" borderId="0" xfId="0" applyNumberFormat="1" applyFont="1" applyBorder="1" applyAlignment="1">
      <alignment horizontal="justify" wrapText="1"/>
    </xf>
    <xf numFmtId="0" fontId="2" fillId="0" borderId="0" xfId="0" applyNumberFormat="1" applyFont="1" applyFill="1" applyBorder="1" applyAlignment="1">
      <alignment horizontal="justify" wrapText="1"/>
    </xf>
    <xf numFmtId="0" fontId="1" fillId="0" borderId="0" xfId="0" applyNumberFormat="1" applyFont="1" applyBorder="1" applyAlignment="1">
      <alignment horizontal="justify" wrapText="1"/>
    </xf>
    <xf numFmtId="0" fontId="9" fillId="0" borderId="3" xfId="0" applyNumberFormat="1" applyFont="1" applyFill="1" applyBorder="1" applyAlignment="1">
      <alignment horizontal="justify" wrapText="1"/>
    </xf>
    <xf numFmtId="0" fontId="48" fillId="0" borderId="3" xfId="0" applyNumberFormat="1" applyFont="1" applyBorder="1" applyAlignment="1">
      <alignment horizontal="justify" wrapText="1"/>
    </xf>
    <xf numFmtId="0" fontId="93" fillId="0" borderId="0" xfId="0" applyFont="1" applyAlignment="1">
      <alignment horizontal="center" vertical="center" wrapText="1"/>
    </xf>
    <xf numFmtId="0" fontId="84" fillId="0" borderId="0" xfId="0" applyFont="1" applyAlignment="1">
      <alignment horizontal="center" vertical="center" wrapText="1"/>
    </xf>
    <xf numFmtId="0" fontId="90" fillId="0" borderId="0" xfId="0" applyFont="1" applyAlignment="1">
      <alignment horizontal="center" wrapText="1"/>
    </xf>
    <xf numFmtId="0" fontId="84" fillId="0" borderId="0" xfId="0" applyFont="1" applyAlignment="1">
      <alignment horizontal="center" wrapText="1"/>
    </xf>
    <xf numFmtId="0" fontId="22" fillId="3" borderId="12"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71" fillId="3" borderId="4" xfId="0" applyFont="1" applyFill="1" applyBorder="1" applyAlignment="1">
      <alignment/>
    </xf>
    <xf numFmtId="0" fontId="71" fillId="3" borderId="48" xfId="0" applyFont="1" applyFill="1" applyBorder="1" applyAlignment="1">
      <alignment/>
    </xf>
    <xf numFmtId="0" fontId="71" fillId="3" borderId="50" xfId="0" applyFont="1" applyFill="1" applyBorder="1" applyAlignment="1">
      <alignment/>
    </xf>
    <xf numFmtId="0" fontId="22" fillId="3" borderId="11" xfId="0" applyFont="1" applyFill="1" applyBorder="1" applyAlignment="1">
      <alignment horizontal="center" vertical="center" wrapText="1" shrinkToFit="1"/>
    </xf>
    <xf numFmtId="0" fontId="31" fillId="3" borderId="13" xfId="0" applyFont="1" applyFill="1" applyBorder="1" applyAlignment="1">
      <alignment/>
    </xf>
    <xf numFmtId="0" fontId="22" fillId="3" borderId="12" xfId="0" applyFont="1" applyFill="1" applyBorder="1" applyAlignment="1">
      <alignment horizontal="center" vertical="center" wrapText="1" shrinkToFit="1"/>
    </xf>
    <xf numFmtId="0" fontId="31" fillId="3" borderId="16" xfId="0" applyFont="1" applyFill="1" applyBorder="1" applyAlignment="1">
      <alignment horizontal="center" vertical="center" wrapText="1" shrinkToFit="1"/>
    </xf>
    <xf numFmtId="0" fontId="2" fillId="0" borderId="0" xfId="0" applyFont="1" applyBorder="1" applyAlignment="1">
      <alignment horizontal="justify" wrapText="1"/>
    </xf>
    <xf numFmtId="0" fontId="34" fillId="0" borderId="0" xfId="0" applyFont="1" applyAlignment="1">
      <alignment horizontal="center" vertical="center" wrapText="1"/>
    </xf>
    <xf numFmtId="0" fontId="91" fillId="0" borderId="0" xfId="0" applyFont="1" applyAlignment="1">
      <alignment horizontal="center" vertical="center" wrapText="1"/>
    </xf>
    <xf numFmtId="0" fontId="89" fillId="0" borderId="0" xfId="0" applyFont="1" applyAlignment="1">
      <alignment horizontal="center" vertical="center" wrapText="1"/>
    </xf>
    <xf numFmtId="0" fontId="34" fillId="0" borderId="0" xfId="0" applyFont="1" applyAlignment="1">
      <alignment horizontal="center" wrapText="1"/>
    </xf>
    <xf numFmtId="0" fontId="90" fillId="0" borderId="0" xfId="0" applyFont="1" applyAlignment="1">
      <alignment horizontal="center" wrapText="1"/>
    </xf>
    <xf numFmtId="0" fontId="88" fillId="0" borderId="0" xfId="0" applyFont="1" applyAlignment="1">
      <alignment horizontal="center" wrapText="1"/>
    </xf>
    <xf numFmtId="0" fontId="91" fillId="0" borderId="0" xfId="0" applyFont="1" applyAlignment="1">
      <alignment horizontal="center" wrapText="1"/>
    </xf>
    <xf numFmtId="0" fontId="9" fillId="0" borderId="3"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0" fillId="3" borderId="16" xfId="0" applyFill="1" applyBorder="1" applyAlignment="1">
      <alignment horizontal="center" vertical="center" wrapText="1"/>
    </xf>
    <xf numFmtId="0" fontId="2" fillId="3" borderId="12" xfId="0" applyFont="1" applyFill="1" applyBorder="1" applyAlignment="1">
      <alignment horizontal="center" wrapText="1"/>
    </xf>
    <xf numFmtId="0" fontId="1" fillId="3" borderId="12" xfId="0" applyFont="1" applyFill="1" applyBorder="1" applyAlignment="1">
      <alignment horizontal="center" wrapText="1"/>
    </xf>
    <xf numFmtId="0" fontId="22" fillId="3" borderId="12" xfId="0" applyFont="1" applyFill="1" applyBorder="1" applyAlignment="1">
      <alignment horizontal="center" wrapText="1"/>
    </xf>
    <xf numFmtId="0" fontId="22" fillId="3" borderId="21" xfId="0" applyFont="1" applyFill="1" applyBorder="1" applyAlignment="1">
      <alignment horizontal="center" wrapText="1"/>
    </xf>
    <xf numFmtId="0" fontId="80" fillId="0" borderId="0" xfId="0" applyFont="1" applyAlignment="1">
      <alignment horizontal="left" wrapText="1"/>
    </xf>
    <xf numFmtId="0" fontId="90" fillId="0" borderId="0" xfId="0" applyFont="1" applyAlignment="1">
      <alignment horizontal="left" wrapText="1"/>
    </xf>
    <xf numFmtId="0" fontId="5" fillId="0" borderId="1" xfId="0" applyFont="1" applyBorder="1" applyAlignment="1">
      <alignment horizontal="left" wrapText="1"/>
    </xf>
    <xf numFmtId="0" fontId="1" fillId="0" borderId="1" xfId="0" applyFont="1" applyBorder="1" applyAlignment="1">
      <alignment horizontal="left" wrapText="1"/>
    </xf>
    <xf numFmtId="0" fontId="36" fillId="0" borderId="3" xfId="15" applyNumberFormat="1" applyFont="1" applyBorder="1" applyAlignment="1">
      <alignment horizontal="justify" vertical="center" wrapText="1"/>
    </xf>
    <xf numFmtId="0" fontId="29" fillId="0" borderId="3" xfId="0" applyNumberFormat="1" applyFont="1" applyBorder="1" applyAlignment="1">
      <alignment horizontal="justify" vertical="center" wrapText="1"/>
    </xf>
    <xf numFmtId="0" fontId="29" fillId="0" borderId="3" xfId="0" applyFont="1" applyBorder="1" applyAlignment="1">
      <alignment horizontal="justify" wrapText="1"/>
    </xf>
    <xf numFmtId="0" fontId="22" fillId="0" borderId="0" xfId="0" applyFont="1" applyBorder="1" applyAlignment="1">
      <alignment horizontal="left" wrapText="1"/>
    </xf>
    <xf numFmtId="0" fontId="31" fillId="0" borderId="0" xfId="0" applyFont="1" applyAlignment="1">
      <alignment wrapText="1"/>
    </xf>
    <xf numFmtId="0" fontId="45"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45" fillId="3" borderId="11" xfId="0" applyFont="1" applyFill="1" applyBorder="1" applyAlignment="1">
      <alignment horizontal="center" vertical="center"/>
    </xf>
    <xf numFmtId="0" fontId="45" fillId="3" borderId="13" xfId="0" applyFont="1" applyFill="1" applyBorder="1" applyAlignment="1">
      <alignment horizontal="center" vertical="center"/>
    </xf>
    <xf numFmtId="0" fontId="0" fillId="3" borderId="21" xfId="0" applyFill="1" applyBorder="1" applyAlignment="1">
      <alignment horizontal="center" vertical="center" wrapText="1"/>
    </xf>
    <xf numFmtId="0" fontId="80" fillId="0" borderId="0" xfId="0" applyFont="1" applyAlignment="1">
      <alignment horizontal="center" vertical="center" wrapText="1"/>
    </xf>
    <xf numFmtId="0" fontId="5" fillId="0" borderId="0" xfId="0" applyFont="1" applyBorder="1" applyAlignment="1">
      <alignment horizontal="left" wrapText="1"/>
    </xf>
    <xf numFmtId="0" fontId="0" fillId="0" borderId="0" xfId="0" applyBorder="1" applyAlignment="1">
      <alignment horizontal="left" wrapText="1"/>
    </xf>
    <xf numFmtId="0" fontId="1" fillId="3" borderId="24" xfId="0" applyFont="1" applyFill="1" applyBorder="1" applyAlignment="1">
      <alignment horizontal="center"/>
    </xf>
    <xf numFmtId="0" fontId="1" fillId="3" borderId="51" xfId="0" applyFont="1" applyFill="1" applyBorder="1" applyAlignment="1">
      <alignment horizontal="center"/>
    </xf>
    <xf numFmtId="0" fontId="26" fillId="3" borderId="25" xfId="0" applyFont="1" applyFill="1" applyBorder="1" applyAlignment="1">
      <alignment horizontal="left" vertical="center"/>
    </xf>
    <xf numFmtId="0" fontId="26" fillId="3" borderId="42" xfId="0" applyFont="1" applyFill="1" applyBorder="1" applyAlignment="1">
      <alignment horizontal="left" vertical="center"/>
    </xf>
    <xf numFmtId="0" fontId="5" fillId="0" borderId="52"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3" borderId="25" xfId="0" applyFont="1" applyFill="1" applyBorder="1" applyAlignment="1">
      <alignment horizontal="left" vertical="center"/>
    </xf>
    <xf numFmtId="0" fontId="2" fillId="3" borderId="42" xfId="0" applyFont="1" applyFill="1" applyBorder="1"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2" fillId="3" borderId="43" xfId="0" applyFont="1" applyFill="1" applyBorder="1" applyAlignment="1">
      <alignment horizontal="left" vertical="center" wrapText="1"/>
    </xf>
    <xf numFmtId="0" fontId="2" fillId="3" borderId="45" xfId="0" applyFont="1" applyFill="1" applyBorder="1" applyAlignment="1">
      <alignment horizontal="left" vertical="center" wrapText="1"/>
    </xf>
    <xf numFmtId="42" fontId="30" fillId="3" borderId="16" xfId="15" applyNumberFormat="1" applyFont="1" applyFill="1" applyBorder="1" applyAlignment="1">
      <alignment horizontal="center" vertical="center" wrapText="1"/>
    </xf>
    <xf numFmtId="42" fontId="30" fillId="3" borderId="17" xfId="15" applyNumberFormat="1" applyFont="1" applyFill="1" applyBorder="1" applyAlignment="1">
      <alignment horizontal="center" vertical="center" wrapText="1"/>
    </xf>
    <xf numFmtId="42" fontId="30" fillId="3" borderId="19" xfId="15" applyNumberFormat="1" applyFont="1" applyFill="1" applyBorder="1" applyAlignment="1">
      <alignment horizontal="center" vertical="center" wrapText="1"/>
    </xf>
    <xf numFmtId="42" fontId="30" fillId="3" borderId="20" xfId="15"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0" fillId="3" borderId="19" xfId="0"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55" fillId="3" borderId="16" xfId="0" applyFont="1" applyFill="1" applyBorder="1" applyAlignment="1">
      <alignment horizontal="center" wrapText="1"/>
    </xf>
    <xf numFmtId="0" fontId="0" fillId="3" borderId="16" xfId="0" applyFill="1" applyBorder="1" applyAlignment="1">
      <alignment horizontal="center" wrapText="1"/>
    </xf>
    <xf numFmtId="0" fontId="0" fillId="3" borderId="17" xfId="0" applyFill="1" applyBorder="1" applyAlignment="1">
      <alignment horizontal="center" wrapText="1"/>
    </xf>
    <xf numFmtId="0" fontId="40" fillId="3" borderId="18" xfId="0" applyFont="1" applyFill="1" applyBorder="1" applyAlignment="1">
      <alignment vertical="center" wrapText="1"/>
    </xf>
    <xf numFmtId="0" fontId="0" fillId="3" borderId="19" xfId="0" applyFill="1" applyBorder="1" applyAlignment="1">
      <alignment vertical="center" wrapText="1"/>
    </xf>
    <xf numFmtId="0" fontId="0" fillId="3" borderId="20" xfId="0" applyFill="1" applyBorder="1" applyAlignment="1">
      <alignment vertical="center" wrapText="1"/>
    </xf>
    <xf numFmtId="0" fontId="32" fillId="3" borderId="13" xfId="0" applyFont="1" applyFill="1" applyBorder="1" applyAlignment="1">
      <alignment vertical="center" wrapText="1"/>
    </xf>
    <xf numFmtId="0" fontId="0" fillId="3" borderId="16" xfId="0" applyFill="1" applyBorder="1" applyAlignment="1">
      <alignment vertical="center" wrapText="1"/>
    </xf>
    <xf numFmtId="0" fontId="0" fillId="3" borderId="17" xfId="0" applyFill="1" applyBorder="1" applyAlignment="1">
      <alignment vertical="center" wrapText="1"/>
    </xf>
    <xf numFmtId="0" fontId="36" fillId="3" borderId="11" xfId="0" applyFont="1" applyFill="1" applyBorder="1" applyAlignment="1">
      <alignment vertical="center" wrapText="1"/>
    </xf>
    <xf numFmtId="0" fontId="0" fillId="3" borderId="12" xfId="0" applyFill="1" applyBorder="1" applyAlignment="1">
      <alignment vertical="center" wrapText="1"/>
    </xf>
    <xf numFmtId="0" fontId="0" fillId="3" borderId="21" xfId="0" applyFill="1" applyBorder="1" applyAlignment="1">
      <alignment vertical="center" wrapText="1"/>
    </xf>
    <xf numFmtId="0" fontId="2" fillId="3" borderId="0" xfId="0" applyFont="1" applyFill="1" applyBorder="1" applyAlignment="1">
      <alignment/>
    </xf>
    <xf numFmtId="0" fontId="1" fillId="3" borderId="0" xfId="0" applyFont="1" applyFill="1" applyBorder="1" applyAlignment="1">
      <alignment/>
    </xf>
    <xf numFmtId="0" fontId="2" fillId="3" borderId="0" xfId="0" applyFont="1" applyFill="1" applyBorder="1" applyAlignment="1">
      <alignment wrapText="1"/>
    </xf>
    <xf numFmtId="0" fontId="1" fillId="3" borderId="0" xfId="0" applyFont="1" applyFill="1" applyBorder="1" applyAlignment="1">
      <alignment wrapText="1"/>
    </xf>
    <xf numFmtId="0" fontId="4" fillId="0" borderId="0" xfId="0" applyFont="1" applyBorder="1" applyAlignment="1">
      <alignment vertical="center" wrapText="1"/>
    </xf>
    <xf numFmtId="0" fontId="2" fillId="3" borderId="2" xfId="0" applyFont="1" applyFill="1" applyBorder="1" applyAlignment="1">
      <alignment horizontal="center" wrapText="1"/>
    </xf>
    <xf numFmtId="0" fontId="1" fillId="3" borderId="3" xfId="0" applyFont="1" applyFill="1" applyBorder="1" applyAlignment="1">
      <alignment wrapText="1"/>
    </xf>
    <xf numFmtId="0" fontId="1" fillId="3" borderId="4" xfId="0" applyFont="1" applyFill="1" applyBorder="1" applyAlignment="1">
      <alignment wrapText="1"/>
    </xf>
    <xf numFmtId="0" fontId="1" fillId="3" borderId="5" xfId="0" applyFont="1" applyFill="1" applyBorder="1" applyAlignment="1">
      <alignment wrapText="1"/>
    </xf>
    <xf numFmtId="0" fontId="22" fillId="2" borderId="0"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22" fillId="2" borderId="6"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80" fillId="0" borderId="0" xfId="0" applyFont="1" applyAlignment="1">
      <alignment vertical="top" wrapText="1"/>
    </xf>
    <xf numFmtId="0" fontId="85" fillId="0" borderId="0" xfId="0" applyFont="1" applyAlignment="1">
      <alignment vertical="top" wrapText="1"/>
    </xf>
    <xf numFmtId="0" fontId="31" fillId="2" borderId="0" xfId="0" applyFont="1" applyFill="1" applyBorder="1" applyAlignment="1">
      <alignment horizontal="center" vertical="center" wrapText="1"/>
    </xf>
    <xf numFmtId="0" fontId="92" fillId="0" borderId="0" xfId="0" applyFont="1" applyAlignment="1">
      <alignment horizontal="center" vertical="center" wrapText="1"/>
    </xf>
    <xf numFmtId="0" fontId="80" fillId="2" borderId="0" xfId="0" applyFont="1" applyFill="1" applyAlignment="1">
      <alignment horizontal="center" vertical="center" wrapText="1"/>
    </xf>
    <xf numFmtId="0" fontId="30" fillId="3" borderId="14"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53" xfId="0" applyFont="1" applyFill="1" applyBorder="1" applyAlignment="1">
      <alignment horizontal="left" vertical="center" wrapText="1"/>
    </xf>
    <xf numFmtId="0" fontId="0" fillId="3" borderId="54" xfId="0" applyFill="1" applyBorder="1" applyAlignment="1">
      <alignment horizontal="left" vertical="center" wrapText="1"/>
    </xf>
    <xf numFmtId="0" fontId="0" fillId="3" borderId="44" xfId="0" applyFill="1" applyBorder="1" applyAlignment="1">
      <alignment horizontal="left" vertical="center" wrapText="1"/>
    </xf>
    <xf numFmtId="0" fontId="30" fillId="3" borderId="55" xfId="0" applyFont="1" applyFill="1" applyBorder="1" applyAlignment="1">
      <alignment horizontal="left" vertical="center" wrapText="1"/>
    </xf>
    <xf numFmtId="0" fontId="0" fillId="3" borderId="56" xfId="0" applyFill="1" applyBorder="1" applyAlignment="1">
      <alignment horizontal="left" vertical="center" wrapText="1"/>
    </xf>
    <xf numFmtId="0" fontId="0" fillId="3" borderId="27" xfId="0" applyFill="1" applyBorder="1" applyAlignment="1">
      <alignment horizontal="left" vertical="center" wrapText="1"/>
    </xf>
    <xf numFmtId="0" fontId="80" fillId="0" borderId="0" xfId="0" applyFont="1" applyAlignment="1">
      <alignment horizontal="center" wrapText="1"/>
    </xf>
    <xf numFmtId="0" fontId="85" fillId="0" borderId="0" xfId="0" applyFont="1" applyAlignment="1">
      <alignment horizontal="center" wrapText="1"/>
    </xf>
    <xf numFmtId="0" fontId="2" fillId="0" borderId="8" xfId="0" applyFont="1" applyBorder="1" applyAlignment="1">
      <alignment horizontal="center"/>
    </xf>
    <xf numFmtId="0" fontId="29" fillId="0" borderId="0" xfId="0" applyFont="1" applyBorder="1" applyAlignment="1">
      <alignment horizontal="justify" wrapText="1"/>
    </xf>
    <xf numFmtId="0" fontId="2" fillId="0" borderId="10" xfId="0" applyFont="1" applyBorder="1" applyAlignment="1">
      <alignment horizontal="center"/>
    </xf>
    <xf numFmtId="0" fontId="29" fillId="0" borderId="10" xfId="0" applyFont="1" applyBorder="1" applyAlignment="1">
      <alignment horizontal="justify" wrapText="1"/>
    </xf>
    <xf numFmtId="0" fontId="1" fillId="0" borderId="0" xfId="0" applyFont="1" applyBorder="1" applyAlignment="1">
      <alignment horizontal="justify" wrapText="1"/>
    </xf>
    <xf numFmtId="169" fontId="9" fillId="4" borderId="12" xfId="15" applyNumberFormat="1" applyFont="1" applyFill="1" applyBorder="1" applyAlignment="1">
      <alignment horizontal="center" vertical="center" wrapText="1"/>
    </xf>
    <xf numFmtId="169" fontId="9" fillId="4" borderId="16" xfId="15"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6" xfId="0" applyFont="1" applyFill="1" applyBorder="1" applyAlignment="1">
      <alignment horizontal="center" vertical="center" wrapText="1"/>
    </xf>
    <xf numFmtId="169" fontId="9" fillId="4" borderId="22" xfId="15" applyNumberFormat="1" applyFont="1" applyFill="1" applyBorder="1" applyAlignment="1">
      <alignment horizontal="center" vertical="center"/>
    </xf>
    <xf numFmtId="169" fontId="9" fillId="4" borderId="23" xfId="15" applyNumberFormat="1" applyFont="1" applyFill="1" applyBorder="1" applyAlignment="1">
      <alignment horizontal="center" vertical="center"/>
    </xf>
    <xf numFmtId="0" fontId="9" fillId="4" borderId="11" xfId="0" applyFont="1" applyFill="1" applyBorder="1" applyAlignment="1">
      <alignment horizontal="center" vertical="center"/>
    </xf>
    <xf numFmtId="0" fontId="9" fillId="4" borderId="13" xfId="0" applyFont="1" applyFill="1" applyBorder="1" applyAlignment="1">
      <alignment horizontal="center" vertical="center"/>
    </xf>
    <xf numFmtId="0" fontId="1" fillId="0" borderId="0" xfId="0" applyFont="1" applyBorder="1" applyAlignment="1">
      <alignment wrapText="1"/>
    </xf>
    <xf numFmtId="0" fontId="9" fillId="4" borderId="2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4" fillId="0" borderId="0" xfId="0" applyFont="1" applyAlignment="1">
      <alignment horizontal="center" vertical="center" wrapText="1"/>
    </xf>
    <xf numFmtId="0" fontId="1" fillId="0" borderId="3" xfId="0" applyFont="1" applyBorder="1" applyAlignment="1">
      <alignment horizontal="left"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49" fillId="4" borderId="12" xfId="0" applyFont="1" applyFill="1" applyBorder="1" applyAlignment="1">
      <alignment horizontal="center" vertical="center"/>
    </xf>
    <xf numFmtId="0" fontId="1" fillId="0" borderId="0" xfId="0" applyFont="1" applyAlignment="1">
      <alignment horizontal="justify" wrapText="1"/>
    </xf>
    <xf numFmtId="0" fontId="49" fillId="4" borderId="11" xfId="0" applyFont="1" applyFill="1" applyBorder="1" applyAlignment="1">
      <alignment horizontal="center" vertical="center" wrapText="1"/>
    </xf>
    <xf numFmtId="0" fontId="49" fillId="4" borderId="13" xfId="0" applyFont="1" applyFill="1" applyBorder="1" applyAlignment="1">
      <alignment horizontal="center" vertical="center" wrapText="1"/>
    </xf>
    <xf numFmtId="0" fontId="1" fillId="2" borderId="3" xfId="0" applyFont="1" applyFill="1" applyBorder="1" applyAlignment="1">
      <alignment horizontal="justify" vertical="center"/>
    </xf>
    <xf numFmtId="0" fontId="0" fillId="0" borderId="3" xfId="0" applyFont="1" applyBorder="1" applyAlignment="1">
      <alignment horizontal="justify" vertical="center"/>
    </xf>
    <xf numFmtId="0" fontId="1" fillId="2" borderId="0" xfId="0" applyFont="1" applyFill="1" applyBorder="1" applyAlignment="1">
      <alignment horizontal="justify" vertical="center"/>
    </xf>
    <xf numFmtId="0" fontId="0" fillId="0" borderId="0" xfId="0" applyFont="1" applyBorder="1" applyAlignment="1">
      <alignment horizontal="justify" vertical="center"/>
    </xf>
    <xf numFmtId="0" fontId="0" fillId="0" borderId="0" xfId="0" applyAlignment="1">
      <alignment horizontal="center" wrapText="1"/>
    </xf>
    <xf numFmtId="0" fontId="40" fillId="3" borderId="12" xfId="0" applyFont="1" applyFill="1" applyBorder="1" applyAlignment="1">
      <alignment horizontal="center" vertical="center"/>
    </xf>
    <xf numFmtId="0" fontId="40" fillId="3" borderId="21" xfId="0" applyFont="1" applyFill="1" applyBorder="1" applyAlignment="1">
      <alignment horizontal="center" vertical="center"/>
    </xf>
    <xf numFmtId="0" fontId="1" fillId="0" borderId="3" xfId="0" applyFont="1" applyBorder="1" applyAlignment="1">
      <alignment vertical="center" wrapText="1" shrinkToFit="1"/>
    </xf>
    <xf numFmtId="0" fontId="0" fillId="0" borderId="3" xfId="0" applyFont="1" applyBorder="1" applyAlignment="1">
      <alignment vertical="center" wrapText="1"/>
    </xf>
    <xf numFmtId="0" fontId="31" fillId="0" borderId="0" xfId="0" applyFont="1" applyAlignment="1">
      <alignment horizontal="justify" vertical="center" wrapText="1"/>
    </xf>
    <xf numFmtId="0" fontId="0" fillId="0" borderId="0" xfId="0" applyAlignment="1">
      <alignment horizontal="justify"/>
    </xf>
    <xf numFmtId="0" fontId="40" fillId="3" borderId="11" xfId="0" applyFont="1" applyFill="1" applyBorder="1" applyAlignment="1">
      <alignment horizontal="center" vertical="center"/>
    </xf>
    <xf numFmtId="0" fontId="40" fillId="3" borderId="13" xfId="0" applyFont="1" applyFill="1" applyBorder="1" applyAlignment="1">
      <alignment horizontal="center" vertical="center"/>
    </xf>
    <xf numFmtId="0" fontId="80" fillId="0" borderId="1" xfId="0" applyFont="1" applyBorder="1" applyAlignment="1">
      <alignment horizontal="right" vertical="center" wrapText="1"/>
    </xf>
    <xf numFmtId="0" fontId="82" fillId="0" borderId="0" xfId="0" applyFont="1" applyAlignment="1">
      <alignment horizontal="center" wrapText="1"/>
    </xf>
    <xf numFmtId="0" fontId="40" fillId="3" borderId="12" xfId="0" applyFont="1" applyFill="1" applyBorder="1" applyAlignment="1">
      <alignment horizontal="center" vertical="center" wrapText="1"/>
    </xf>
    <xf numFmtId="0" fontId="40" fillId="4" borderId="12" xfId="0" applyFont="1" applyFill="1" applyBorder="1" applyAlignment="1">
      <alignment horizontal="center" vertical="center"/>
    </xf>
    <xf numFmtId="0" fontId="40" fillId="4" borderId="11"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24" xfId="0" applyFont="1" applyFill="1" applyBorder="1" applyAlignment="1">
      <alignment horizontal="center" vertical="center" wrapText="1"/>
    </xf>
    <xf numFmtId="0" fontId="40" fillId="4" borderId="57" xfId="0" applyFont="1" applyFill="1" applyBorder="1" applyAlignment="1">
      <alignment horizontal="center" vertical="center" wrapText="1"/>
    </xf>
    <xf numFmtId="0" fontId="37" fillId="4" borderId="57" xfId="0" applyFont="1" applyFill="1" applyBorder="1" applyAlignment="1">
      <alignment horizontal="center" vertical="center" wrapText="1"/>
    </xf>
    <xf numFmtId="0" fontId="37" fillId="4" borderId="51" xfId="0" applyFont="1" applyFill="1" applyBorder="1" applyAlignment="1">
      <alignment horizontal="center" vertical="center" wrapText="1"/>
    </xf>
    <xf numFmtId="165" fontId="40" fillId="4" borderId="19" xfId="15" applyNumberFormat="1" applyFont="1" applyFill="1" applyBorder="1" applyAlignment="1">
      <alignment horizontal="center" vertical="center" wrapText="1"/>
    </xf>
    <xf numFmtId="165" fontId="37" fillId="4" borderId="19" xfId="15" applyNumberFormat="1" applyFont="1" applyFill="1" applyBorder="1" applyAlignment="1">
      <alignment horizontal="center" vertical="center" wrapText="1"/>
    </xf>
    <xf numFmtId="165" fontId="37" fillId="4" borderId="20" xfId="15" applyNumberFormat="1" applyFont="1" applyFill="1" applyBorder="1" applyAlignment="1">
      <alignment horizontal="center" vertical="center" wrapText="1"/>
    </xf>
    <xf numFmtId="0" fontId="40" fillId="4" borderId="16" xfId="0" applyFont="1" applyFill="1" applyBorder="1" applyAlignment="1">
      <alignment horizontal="center" vertical="center" wrapText="1"/>
    </xf>
    <xf numFmtId="0" fontId="37" fillId="4" borderId="17" xfId="0" applyFont="1" applyFill="1" applyBorder="1" applyAlignment="1">
      <alignment horizontal="center" vertical="center" wrapText="1"/>
    </xf>
    <xf numFmtId="165" fontId="40" fillId="4" borderId="16" xfId="15" applyNumberFormat="1" applyFont="1" applyFill="1" applyBorder="1" applyAlignment="1">
      <alignment horizontal="center" vertical="center" wrapText="1"/>
    </xf>
    <xf numFmtId="165" fontId="37" fillId="4" borderId="17" xfId="15" applyNumberFormat="1" applyFont="1" applyFill="1" applyBorder="1" applyAlignment="1">
      <alignment horizontal="center" vertical="center" wrapText="1"/>
    </xf>
    <xf numFmtId="0" fontId="37" fillId="4" borderId="16" xfId="0" applyFont="1" applyFill="1" applyBorder="1" applyAlignment="1">
      <alignment horizontal="center" vertical="center" wrapText="1"/>
    </xf>
    <xf numFmtId="0" fontId="59" fillId="2" borderId="0" xfId="0" applyFont="1" applyFill="1" applyBorder="1" applyAlignment="1">
      <alignment horizontal="justify" vertical="center" wrapText="1"/>
    </xf>
    <xf numFmtId="0" fontId="71" fillId="0" borderId="0" xfId="0" applyFont="1" applyAlignment="1">
      <alignment horizontal="justify" vertical="center" wrapText="1"/>
    </xf>
    <xf numFmtId="165" fontId="37" fillId="4" borderId="16" xfId="15" applyNumberFormat="1" applyFont="1" applyFill="1" applyBorder="1" applyAlignment="1">
      <alignment horizontal="center" vertical="center" wrapText="1"/>
    </xf>
    <xf numFmtId="0" fontId="80" fillId="0" borderId="0" xfId="0" applyFont="1" applyAlignment="1">
      <alignment horizontal="center" wrapText="1"/>
    </xf>
    <xf numFmtId="0" fontId="113" fillId="0" borderId="0" xfId="0" applyFont="1" applyAlignment="1">
      <alignment horizontal="center" wrapText="1"/>
    </xf>
    <xf numFmtId="0" fontId="2" fillId="0" borderId="1" xfId="0" applyFont="1" applyBorder="1" applyAlignment="1">
      <alignment horizontal="left" vertical="center" wrapText="1"/>
    </xf>
    <xf numFmtId="0" fontId="2" fillId="4" borderId="11" xfId="0" applyFont="1" applyFill="1" applyBorder="1" applyAlignment="1">
      <alignment horizontal="center" textRotation="90"/>
    </xf>
    <xf numFmtId="0" fontId="2" fillId="4" borderId="13" xfId="0" applyFont="1" applyFill="1" applyBorder="1" applyAlignment="1">
      <alignment horizontal="center" textRotation="90"/>
    </xf>
    <xf numFmtId="0" fontId="2"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48" fillId="0" borderId="0" xfId="0" applyFont="1" applyBorder="1" applyAlignment="1">
      <alignment horizontal="left" vertical="justify" wrapText="1"/>
    </xf>
    <xf numFmtId="0" fontId="22" fillId="0" borderId="3" xfId="20" applyFont="1" applyBorder="1" applyAlignment="1">
      <alignment wrapText="1"/>
      <protection/>
    </xf>
    <xf numFmtId="0" fontId="0" fillId="0" borderId="3" xfId="0" applyBorder="1" applyAlignment="1">
      <alignment wrapText="1"/>
    </xf>
    <xf numFmtId="0" fontId="0" fillId="0" borderId="0" xfId="0" applyBorder="1" applyAlignment="1">
      <alignment wrapText="1"/>
    </xf>
    <xf numFmtId="0" fontId="34" fillId="0" borderId="0" xfId="20" applyFont="1" applyAlignment="1">
      <alignment horizontal="center" vertical="center" wrapText="1"/>
      <protection/>
    </xf>
    <xf numFmtId="0" fontId="91" fillId="0" borderId="0" xfId="20" applyFont="1" applyAlignment="1">
      <alignment horizontal="center" vertical="center" wrapText="1"/>
      <protection/>
    </xf>
    <xf numFmtId="0" fontId="2" fillId="4" borderId="11" xfId="20" applyFont="1" applyFill="1" applyBorder="1" applyAlignment="1">
      <alignment vertical="top" textRotation="90"/>
      <protection/>
    </xf>
    <xf numFmtId="0" fontId="2" fillId="4" borderId="13" xfId="20" applyFont="1" applyFill="1" applyBorder="1" applyAlignment="1">
      <alignment vertical="top" textRotation="90"/>
      <protection/>
    </xf>
    <xf numFmtId="0" fontId="2" fillId="0" borderId="0" xfId="0" applyFont="1" applyBorder="1" applyAlignment="1">
      <alignment horizontal="left" wrapText="1"/>
    </xf>
    <xf numFmtId="0" fontId="2" fillId="0" borderId="0" xfId="0" applyFont="1" applyBorder="1" applyAlignment="1">
      <alignment wrapText="1"/>
    </xf>
    <xf numFmtId="0" fontId="2" fillId="4" borderId="13" xfId="20" applyFont="1" applyFill="1" applyBorder="1" applyAlignment="1" quotePrefix="1">
      <alignment vertical="top"/>
      <protection/>
    </xf>
    <xf numFmtId="0" fontId="2" fillId="4" borderId="18" xfId="20" applyFont="1" applyFill="1" applyBorder="1" applyAlignment="1" quotePrefix="1">
      <alignment vertical="top"/>
      <protection/>
    </xf>
    <xf numFmtId="0" fontId="2" fillId="4" borderId="58" xfId="20" applyFont="1" applyFill="1" applyBorder="1" applyAlignment="1">
      <alignment vertical="top" textRotation="90"/>
      <protection/>
    </xf>
    <xf numFmtId="0" fontId="31" fillId="0" borderId="0" xfId="20" applyFont="1" applyBorder="1" applyAlignment="1">
      <alignment/>
      <protection/>
    </xf>
    <xf numFmtId="0" fontId="2" fillId="4" borderId="14" xfId="20" applyFont="1" applyFill="1" applyBorder="1" applyAlignment="1">
      <alignment vertical="top" textRotation="90"/>
      <protection/>
    </xf>
    <xf numFmtId="0" fontId="2" fillId="4" borderId="59" xfId="20" applyFont="1" applyFill="1" applyBorder="1" applyAlignment="1">
      <alignment vertical="top" textRotation="90"/>
      <protection/>
    </xf>
    <xf numFmtId="0" fontId="2" fillId="4" borderId="15" xfId="20" applyFont="1" applyFill="1" applyBorder="1" applyAlignment="1">
      <alignment vertical="top" textRotation="90"/>
      <protection/>
    </xf>
    <xf numFmtId="0" fontId="6" fillId="0" borderId="0" xfId="0" applyFont="1" applyBorder="1" applyAlignment="1">
      <alignment horizontal="center"/>
    </xf>
    <xf numFmtId="0" fontId="22" fillId="0" borderId="1" xfId="0" applyFont="1" applyBorder="1" applyAlignment="1">
      <alignment horizontal="left" wrapText="1"/>
    </xf>
    <xf numFmtId="0" fontId="0" fillId="0" borderId="1" xfId="0" applyBorder="1" applyAlignment="1">
      <alignment horizontal="left" wrapText="1"/>
    </xf>
    <xf numFmtId="0" fontId="6" fillId="0" borderId="0" xfId="0" applyFont="1" applyBorder="1" applyAlignment="1">
      <alignment horizontal="center" vertical="center"/>
    </xf>
    <xf numFmtId="0" fontId="2" fillId="0" borderId="1" xfId="0" applyFont="1" applyBorder="1" applyAlignment="1">
      <alignment horizontal="left" wrapText="1"/>
    </xf>
    <xf numFmtId="4" fontId="1" fillId="4" borderId="19" xfId="0" applyNumberFormat="1"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1" fillId="0" borderId="0" xfId="0" applyFont="1" applyBorder="1" applyAlignment="1">
      <alignment horizontal="center" wrapText="1"/>
    </xf>
    <xf numFmtId="0" fontId="2" fillId="4" borderId="12" xfId="0" applyFont="1" applyFill="1" applyBorder="1" applyAlignment="1">
      <alignment horizontal="center" wrapText="1"/>
    </xf>
    <xf numFmtId="0" fontId="2" fillId="4" borderId="21" xfId="0" applyFont="1" applyFill="1" applyBorder="1" applyAlignment="1">
      <alignment horizontal="center" wrapText="1"/>
    </xf>
    <xf numFmtId="0" fontId="2" fillId="0" borderId="1" xfId="0" applyFont="1" applyBorder="1" applyAlignment="1">
      <alignment wrapText="1"/>
    </xf>
    <xf numFmtId="0" fontId="0" fillId="0" borderId="1" xfId="0" applyBorder="1" applyAlignment="1">
      <alignment wrapText="1"/>
    </xf>
    <xf numFmtId="0" fontId="31" fillId="0" borderId="0" xfId="20" applyFont="1" applyBorder="1" applyAlignment="1">
      <alignment wrapText="1"/>
      <protection/>
    </xf>
    <xf numFmtId="0" fontId="0" fillId="0" borderId="0" xfId="0" applyFont="1" applyBorder="1" applyAlignment="1">
      <alignment wrapText="1"/>
    </xf>
    <xf numFmtId="0" fontId="0" fillId="0" borderId="0" xfId="0" applyFont="1" applyAlignment="1">
      <alignment wrapText="1"/>
    </xf>
  </cellXfs>
  <cellStyles count="10">
    <cellStyle name="Normal" xfId="0"/>
    <cellStyle name="Comma" xfId="15"/>
    <cellStyle name="Comma [0]" xfId="16"/>
    <cellStyle name="Binlik Ayracı_Sayfa2" xfId="17"/>
    <cellStyle name="Followed Hyperlink" xfId="18"/>
    <cellStyle name="Hyperlink" xfId="19"/>
    <cellStyle name="Normal_Sayfa2"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image" Target="../media/image24.jpeg" /><Relationship Id="rId3" Type="http://schemas.openxmlformats.org/officeDocument/2006/relationships/image" Target="../media/image25.jpeg" /></Relationships>
</file>

<file path=xl/charts/_rels/chart11.xml.rels><?xml version="1.0" encoding="utf-8" standalone="yes"?><Relationships xmlns="http://schemas.openxmlformats.org/package/2006/relationships"><Relationship Id="rId1" Type="http://schemas.openxmlformats.org/officeDocument/2006/relationships/image" Target="../media/image26.jpeg" /><Relationship Id="rId2" Type="http://schemas.openxmlformats.org/officeDocument/2006/relationships/image" Target="../media/image27.jpeg" /><Relationship Id="rId3" Type="http://schemas.openxmlformats.org/officeDocument/2006/relationships/image" Target="../media/image28.jpeg" /></Relationships>
</file>

<file path=xl/charts/_rels/chart12.xml.rels><?xml version="1.0" encoding="utf-8" standalone="yes"?><Relationships xmlns="http://schemas.openxmlformats.org/package/2006/relationships"><Relationship Id="rId1" Type="http://schemas.openxmlformats.org/officeDocument/2006/relationships/image" Target="../media/image29.jpeg" /><Relationship Id="rId2" Type="http://schemas.openxmlformats.org/officeDocument/2006/relationships/image" Target="../media/image30.jpeg" /><Relationship Id="rId3" Type="http://schemas.openxmlformats.org/officeDocument/2006/relationships/image" Target="../media/image31.jpeg" /></Relationships>
</file>

<file path=xl/charts/_rels/chart13.xml.rels><?xml version="1.0" encoding="utf-8" standalone="yes"?><Relationships xmlns="http://schemas.openxmlformats.org/package/2006/relationships"><Relationship Id="rId1" Type="http://schemas.openxmlformats.org/officeDocument/2006/relationships/image" Target="../media/image32.jpeg" /></Relationships>
</file>

<file path=xl/charts/_rels/chart14.xml.rels><?xml version="1.0" encoding="utf-8" standalone="yes"?><Relationships xmlns="http://schemas.openxmlformats.org/package/2006/relationships"><Relationship Id="rId1" Type="http://schemas.openxmlformats.org/officeDocument/2006/relationships/image" Target="../media/image33.jpeg" /></Relationships>
</file>

<file path=xl/charts/_rels/chart15.xml.rels><?xml version="1.0" encoding="utf-8" standalone="yes"?><Relationships xmlns="http://schemas.openxmlformats.org/package/2006/relationships"><Relationship Id="rId1" Type="http://schemas.openxmlformats.org/officeDocument/2006/relationships/image" Target="../media/image34.jpeg" /><Relationship Id="rId2" Type="http://schemas.openxmlformats.org/officeDocument/2006/relationships/image" Target="../media/image35.jpeg" /></Relationships>
</file>

<file path=xl/charts/_rels/chart16.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37.jpeg" /></Relationships>
</file>

<file path=xl/charts/_rels/chart17.xml.rels><?xml version="1.0" encoding="utf-8" standalone="yes"?><Relationships xmlns="http://schemas.openxmlformats.org/package/2006/relationships"><Relationship Id="rId1" Type="http://schemas.openxmlformats.org/officeDocument/2006/relationships/image" Target="../media/image38.jpeg" /></Relationships>
</file>

<file path=xl/charts/_rels/chart18.xml.rels><?xml version="1.0" encoding="utf-8" standalone="yes"?><Relationships xmlns="http://schemas.openxmlformats.org/package/2006/relationships"><Relationship Id="rId1" Type="http://schemas.openxmlformats.org/officeDocument/2006/relationships/image" Target="../media/image39.jpeg" /></Relationships>
</file>

<file path=xl/charts/_rels/chart19.xml.rels><?xml version="1.0" encoding="utf-8" standalone="yes"?><Relationships xmlns="http://schemas.openxmlformats.org/package/2006/relationships"><Relationship Id="rId1" Type="http://schemas.openxmlformats.org/officeDocument/2006/relationships/image" Target="../media/image40.jpeg" /><Relationship Id="rId2" Type="http://schemas.openxmlformats.org/officeDocument/2006/relationships/image" Target="../media/image41.jpeg" /><Relationship Id="rId3" Type="http://schemas.openxmlformats.org/officeDocument/2006/relationships/image" Target="../media/image42.jpeg"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5.xml" /><Relationship Id="rId2" Type="http://schemas.openxmlformats.org/officeDocument/2006/relationships/image" Target="../media/image44.jpeg" /><Relationship Id="rId3" Type="http://schemas.openxmlformats.org/officeDocument/2006/relationships/image" Target="../media/image45.jpeg" /><Relationship Id="rId4" Type="http://schemas.openxmlformats.org/officeDocument/2006/relationships/image" Target="../media/image46.jpeg" /></Relationships>
</file>

<file path=xl/charts/_rels/chart21.xml.rels><?xml version="1.0" encoding="utf-8" standalone="yes"?><Relationships xmlns="http://schemas.openxmlformats.org/package/2006/relationships"><Relationship Id="rId1" Type="http://schemas.openxmlformats.org/officeDocument/2006/relationships/image" Target="../media/image48.jpeg" /><Relationship Id="rId2" Type="http://schemas.openxmlformats.org/officeDocument/2006/relationships/image" Target="../media/image49.jpeg" /></Relationships>
</file>

<file path=xl/charts/_rels/chart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s>
</file>

<file path=xl/charts/_rels/chart5.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charts/_rels/chart6.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charts/_rels/chart8.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charts/_rels/chart9.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2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62"/>
          <c:h val="0.88875"/>
        </c:manualLayout>
      </c:layout>
      <c:lineChart>
        <c:grouping val="standard"/>
        <c:varyColors val="0"/>
        <c:ser>
          <c:idx val="0"/>
          <c:order val="0"/>
          <c:tx>
            <c:strRef>
              <c:f>'[1]8'!$B$4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'[1]8'!$A$5:$A$11</c:f>
              <c:strCache>
                <c:ptCount val="7"/>
                <c:pt idx="0">
                  <c:v>1999</c:v>
                </c:pt>
                <c:pt idx="1">
                  <c:v>2000</c:v>
                </c:pt>
                <c:pt idx="2">
                  <c:v>2001</c:v>
                </c:pt>
                <c:pt idx="3">
                  <c:v>2002</c:v>
                </c:pt>
                <c:pt idx="4">
                  <c:v>2003</c:v>
                </c:pt>
                <c:pt idx="5">
                  <c:v>2004</c:v>
                </c:pt>
                <c:pt idx="6">
                  <c:v>2005(**)</c:v>
                </c:pt>
              </c:strCache>
            </c:strRef>
          </c:cat>
          <c:val>
            <c:numRef>
              <c:f>'[1]8'!$B$5:$B$11</c:f>
              <c:numCache>
                <c:ptCount val="7"/>
                <c:pt idx="0">
                  <c:v>1111000</c:v>
                </c:pt>
                <c:pt idx="1">
                  <c:v>400000</c:v>
                </c:pt>
                <c:pt idx="2">
                  <c:v>1108000</c:v>
                </c:pt>
                <c:pt idx="3">
                  <c:v>2386000</c:v>
                </c:pt>
                <c:pt idx="4">
                  <c:v>4808617</c:v>
                </c:pt>
                <c:pt idx="5">
                  <c:v>5757000</c:v>
                </c:pt>
                <c:pt idx="6">
                  <c:v>6593000</c:v>
                </c:pt>
              </c:numCache>
            </c:numRef>
          </c:val>
          <c:smooth val="1"/>
        </c:ser>
        <c:ser>
          <c:idx val="1"/>
          <c:order val="1"/>
          <c:tx>
            <c:strRef>
              <c:f>'[1]8'!$C$4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'[1]8'!$A$5:$A$11</c:f>
              <c:strCache>
                <c:ptCount val="7"/>
                <c:pt idx="0">
                  <c:v>1999</c:v>
                </c:pt>
                <c:pt idx="1">
                  <c:v>2000</c:v>
                </c:pt>
                <c:pt idx="2">
                  <c:v>2001</c:v>
                </c:pt>
                <c:pt idx="3">
                  <c:v>2002</c:v>
                </c:pt>
                <c:pt idx="4">
                  <c:v>2003</c:v>
                </c:pt>
                <c:pt idx="5">
                  <c:v>2004</c:v>
                </c:pt>
                <c:pt idx="6">
                  <c:v>2005(**)</c:v>
                </c:pt>
              </c:strCache>
            </c:strRef>
          </c:cat>
          <c:val>
            <c:numRef>
              <c:f>'[1]8'!$C$5:$C$11</c:f>
              <c:numCache>
                <c:ptCount val="7"/>
                <c:pt idx="0">
                  <c:v>796145</c:v>
                </c:pt>
                <c:pt idx="1">
                  <c:v>1051460</c:v>
                </c:pt>
                <c:pt idx="2">
                  <c:v>1740000</c:v>
                </c:pt>
                <c:pt idx="3">
                  <c:v>2622000</c:v>
                </c:pt>
                <c:pt idx="4">
                  <c:v>4930000</c:v>
                </c:pt>
                <c:pt idx="5">
                  <c:v>5273000</c:v>
                </c:pt>
                <c:pt idx="6">
                  <c:v>6926000</c:v>
                </c:pt>
              </c:numCache>
            </c:numRef>
          </c:val>
          <c:smooth val="0"/>
        </c:ser>
        <c:ser>
          <c:idx val="2"/>
          <c:order val="2"/>
          <c:tx>
            <c:strRef>
              <c:f>'[1]8'!$D$4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'[1]8'!$A$5:$A$11</c:f>
              <c:strCache>
                <c:ptCount val="7"/>
                <c:pt idx="0">
                  <c:v>1999</c:v>
                </c:pt>
                <c:pt idx="1">
                  <c:v>2000</c:v>
                </c:pt>
                <c:pt idx="2">
                  <c:v>2001</c:v>
                </c:pt>
                <c:pt idx="3">
                  <c:v>2002</c:v>
                </c:pt>
                <c:pt idx="4">
                  <c:v>2003</c:v>
                </c:pt>
                <c:pt idx="5">
                  <c:v>2004</c:v>
                </c:pt>
                <c:pt idx="6">
                  <c:v>2005(**)</c:v>
                </c:pt>
              </c:strCache>
            </c:strRef>
          </c:cat>
          <c:val>
            <c:numRef>
              <c:f>'[1]8'!$D$5:$D$11</c:f>
              <c:numCache>
                <c:ptCount val="7"/>
                <c:pt idx="0">
                  <c:v>1035000</c:v>
                </c:pt>
                <c:pt idx="1">
                  <c:v>1775000</c:v>
                </c:pt>
                <c:pt idx="2">
                  <c:v>2675000</c:v>
                </c:pt>
                <c:pt idx="3">
                  <c:v>4676000</c:v>
                </c:pt>
                <c:pt idx="4">
                  <c:v>6145000</c:v>
                </c:pt>
                <c:pt idx="5">
                  <c:v>7800000</c:v>
                </c:pt>
                <c:pt idx="6">
                  <c:v>8889300</c:v>
                </c:pt>
              </c:numCache>
            </c:numRef>
          </c:val>
          <c:smooth val="1"/>
        </c:ser>
        <c:marker val="1"/>
        <c:axId val="6467171"/>
        <c:axId val="58204540"/>
      </c:lineChart>
      <c:catAx>
        <c:axId val="6467171"/>
        <c:scaling>
          <c:orientation val="minMax"/>
        </c:scaling>
        <c:axPos val="b"/>
        <c:delete val="0"/>
        <c:numFmt formatCode="General" sourceLinked="1"/>
        <c:majorTickMark val="out"/>
        <c:minorTickMark val="none"/>
        <c:tickLblPos val="nextTo"/>
        <c:txPr>
          <a:bodyPr/>
          <a:lstStyle/>
          <a:p>
            <a:pPr>
              <a:defRPr lang="en-US" cap="none" sz="800" b="1" i="0" u="none" baseline="0"/>
            </a:pPr>
          </a:p>
        </c:txPr>
        <c:crossAx val="58204540"/>
        <c:crosses val="autoZero"/>
        <c:auto val="1"/>
        <c:lblOffset val="100"/>
        <c:noMultiLvlLbl val="0"/>
      </c:catAx>
      <c:valAx>
        <c:axId val="5820454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64671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Arial Tur"/>
          <a:ea typeface="Arial Tur"/>
          <a:cs typeface="Arial Tu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7 - SSK, BAĞ-KUR VE EMEKLİ SANDIĞINA YAPILAN BÜTÇE TRANSFERLERİ</a:t>
            </a:r>
          </a:p>
        </c:rich>
      </c:tx>
      <c:layout/>
      <c:spPr>
        <a:noFill/>
        <a:ln>
          <a:noFill/>
        </a:ln>
      </c:spPr>
    </c:title>
    <c:plotArea>
      <c:layout>
        <c:manualLayout>
          <c:xMode val="edge"/>
          <c:yMode val="edge"/>
          <c:x val="0.0165"/>
          <c:y val="0.17175"/>
          <c:w val="0.967"/>
          <c:h val="0.74425"/>
        </c:manualLayout>
      </c:layout>
      <c:lineChart>
        <c:grouping val="standard"/>
        <c:varyColors val="0"/>
        <c:ser>
          <c:idx val="0"/>
          <c:order val="0"/>
          <c:tx>
            <c:strRef>
              <c:f>8!$B$4</c:f>
              <c:strCache>
                <c:ptCount val="1"/>
                <c:pt idx="0">
                  <c:v>SSK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00"/>
                </a:solidFill>
              </a:ln>
            </c:spPr>
          </c:marker>
          <c:cat>
            <c:strRef>
              <c:f>8!$A$5:$A$11</c:f>
              <c:strCache/>
            </c:strRef>
          </c:cat>
          <c:val>
            <c:numRef>
              <c:f>8!$B$5:$B$11</c:f>
              <c:numCache>
                <c:ptCount val="7"/>
                <c:pt idx="0">
                  <c:v>0</c:v>
                </c:pt>
                <c:pt idx="1">
                  <c:v>0</c:v>
                </c:pt>
                <c:pt idx="2">
                  <c:v>0</c:v>
                </c:pt>
                <c:pt idx="3">
                  <c:v>0</c:v>
                </c:pt>
                <c:pt idx="4">
                  <c:v>0</c:v>
                </c:pt>
                <c:pt idx="5">
                  <c:v>0</c:v>
                </c:pt>
                <c:pt idx="6">
                  <c:v>0</c:v>
                </c:pt>
              </c:numCache>
            </c:numRef>
          </c:val>
          <c:smooth val="1"/>
        </c:ser>
        <c:ser>
          <c:idx val="1"/>
          <c:order val="1"/>
          <c:tx>
            <c:strRef>
              <c:f>8!$C$4</c:f>
              <c:strCache>
                <c:ptCount val="1"/>
                <c:pt idx="0">
                  <c:v>BAĞ - KUR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0000"/>
              </a:solidFill>
              <a:ln>
                <a:solidFill>
                  <a:srgbClr val="FF0000"/>
                </a:solidFill>
              </a:ln>
            </c:spPr>
          </c:marker>
          <c:cat>
            <c:strRef>
              <c:f>8!$A$5:$A$11</c:f>
              <c:strCache/>
            </c:strRef>
          </c:cat>
          <c:val>
            <c:numRef>
              <c:f>8!$C$5:$C$11</c:f>
              <c:numCache>
                <c:ptCount val="7"/>
                <c:pt idx="0">
                  <c:v>0</c:v>
                </c:pt>
                <c:pt idx="1">
                  <c:v>0</c:v>
                </c:pt>
                <c:pt idx="2">
                  <c:v>0</c:v>
                </c:pt>
                <c:pt idx="3">
                  <c:v>0</c:v>
                </c:pt>
                <c:pt idx="4">
                  <c:v>0</c:v>
                </c:pt>
                <c:pt idx="5">
                  <c:v>0</c:v>
                </c:pt>
                <c:pt idx="6">
                  <c:v>0</c:v>
                </c:pt>
              </c:numCache>
            </c:numRef>
          </c:val>
          <c:smooth val="0"/>
        </c:ser>
        <c:ser>
          <c:idx val="2"/>
          <c:order val="2"/>
          <c:tx>
            <c:strRef>
              <c:f>8!$D$4</c:f>
              <c:strCache>
                <c:ptCount val="1"/>
                <c:pt idx="0">
                  <c:v> EMEKLİ SANDIĞI</c:v>
                </c:pt>
              </c:strCache>
            </c:strRef>
          </c:tx>
          <c:spPr>
            <a:ln w="254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8000"/>
              </a:solidFill>
              <a:ln>
                <a:solidFill>
                  <a:srgbClr val="008000"/>
                </a:solidFill>
              </a:ln>
              <a:effectLst>
                <a:outerShdw dist="35921" dir="2700000" algn="br">
                  <a:prstClr val="black"/>
                </a:outerShdw>
              </a:effectLst>
            </c:spPr>
          </c:marker>
          <c:cat>
            <c:strRef>
              <c:f>8!$A$5:$A$11</c:f>
              <c:strCache/>
            </c:strRef>
          </c:cat>
          <c:val>
            <c:numRef>
              <c:f>8!$D$5:$D$11</c:f>
              <c:numCache>
                <c:ptCount val="7"/>
                <c:pt idx="0">
                  <c:v>0</c:v>
                </c:pt>
                <c:pt idx="1">
                  <c:v>0</c:v>
                </c:pt>
                <c:pt idx="2">
                  <c:v>0</c:v>
                </c:pt>
                <c:pt idx="3">
                  <c:v>0</c:v>
                </c:pt>
                <c:pt idx="4">
                  <c:v>0</c:v>
                </c:pt>
                <c:pt idx="5">
                  <c:v>0</c:v>
                </c:pt>
                <c:pt idx="6">
                  <c:v>0</c:v>
                </c:pt>
              </c:numCache>
            </c:numRef>
          </c:val>
          <c:smooth val="1"/>
        </c:ser>
        <c:marker val="1"/>
        <c:axId val="66464173"/>
        <c:axId val="61306646"/>
      </c:lineChart>
      <c:catAx>
        <c:axId val="66464173"/>
        <c:scaling>
          <c:orientation val="minMax"/>
        </c:scaling>
        <c:axPos val="b"/>
        <c:title>
          <c:tx>
            <c:rich>
              <a:bodyPr vert="horz" rot="0" anchor="ctr"/>
              <a:lstStyle/>
              <a:p>
                <a:pPr algn="ctr">
                  <a:defRPr/>
                </a:pPr>
                <a:r>
                  <a:rPr lang="en-US" cap="none" sz="800" b="1" i="0" u="none" baseline="0">
                    <a:latin typeface="Arial Tur"/>
                    <a:ea typeface="Arial Tur"/>
                    <a:cs typeface="Arial Tur"/>
                  </a:rPr>
                  <a:t>Milyar TL</a:t>
                </a:r>
              </a:p>
            </c:rich>
          </c:tx>
          <c:layout>
            <c:manualLayout>
              <c:xMode val="factor"/>
              <c:yMode val="factor"/>
              <c:x val="0.2615"/>
              <c:y val="-0.115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61306646"/>
        <c:crosses val="autoZero"/>
        <c:auto val="1"/>
        <c:lblOffset val="100"/>
        <c:noMultiLvlLbl val="0"/>
      </c:catAx>
      <c:valAx>
        <c:axId val="61306646"/>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1" i="0" u="none" baseline="0"/>
            </a:pPr>
          </a:p>
        </c:txPr>
        <c:crossAx val="66464173"/>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916"/>
          <c:w val="0.8815"/>
          <c:h val="0.0687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8 - Prim Tahakkuk,Tahsilat ve Tahsilat Oranı</a:t>
            </a:r>
          </a:p>
        </c:rich>
      </c:tx>
      <c:layout/>
      <c:spPr>
        <a:noFill/>
        <a:ln>
          <a:noFill/>
        </a:ln>
      </c:spPr>
    </c:title>
    <c:plotArea>
      <c:layout>
        <c:manualLayout>
          <c:xMode val="edge"/>
          <c:yMode val="edge"/>
          <c:x val="0.0085"/>
          <c:y val="0.1415"/>
          <c:w val="0.9755"/>
          <c:h val="0.75925"/>
        </c:manualLayout>
      </c:layout>
      <c:barChart>
        <c:barDir val="col"/>
        <c:grouping val="clustered"/>
        <c:varyColors val="0"/>
        <c:ser>
          <c:idx val="1"/>
          <c:order val="0"/>
          <c:tx>
            <c:strRef>
              <c:f>9!$K$6</c:f>
              <c:strCache>
                <c:ptCount val="1"/>
                <c:pt idx="0">
                  <c:v>TAHAKKUK</c:v>
                </c:pt>
              </c:strCache>
            </c:strRef>
          </c:tx>
          <c:spPr>
            <a:solidFill>
              <a:srgbClr val="33CCCC"/>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9!$K$7:$K$19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9!$L$6</c:f>
              <c:strCache>
                <c:ptCount val="1"/>
                <c:pt idx="0">
                  <c:v>TAHSİLAT</c:v>
                </c:pt>
              </c:strCache>
            </c:strRef>
          </c:tx>
          <c:spPr>
            <a:solidFill>
              <a:srgbClr val="FF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9!$L$7:$L$19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888903"/>
        <c:axId val="66891264"/>
      </c:barChart>
      <c:lineChart>
        <c:grouping val="standard"/>
        <c:varyColors val="0"/>
        <c:ser>
          <c:idx val="2"/>
          <c:order val="2"/>
          <c:tx>
            <c:strRef>
              <c:f>9!$M$6</c:f>
              <c:strCache>
                <c:ptCount val="1"/>
                <c:pt idx="0">
                  <c:v>TAHSİLAT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9!$J$7:$J$19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9!$M$7:$M$19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65150465"/>
        <c:axId val="49483274"/>
      </c:lineChart>
      <c:catAx>
        <c:axId val="14888903"/>
        <c:scaling>
          <c:orientation val="minMax"/>
        </c:scaling>
        <c:axPos val="b"/>
        <c:title>
          <c:tx>
            <c:rich>
              <a:bodyPr vert="horz" rot="0" anchor="ctr"/>
              <a:lstStyle/>
              <a:p>
                <a:pPr algn="ctr">
                  <a:defRPr/>
                </a:pPr>
                <a:r>
                  <a:rPr lang="en-US" cap="none" sz="1000" b="1" i="0" u="none" baseline="0"/>
                  <a:t>Trilyon TL </a:t>
                </a:r>
              </a:p>
            </c:rich>
          </c:tx>
          <c:layout>
            <c:manualLayout>
              <c:xMode val="factor"/>
              <c:yMode val="factor"/>
              <c:x val="0.2525"/>
              <c:y val="-0.1065"/>
            </c:manualLayout>
          </c:layout>
          <c:overlay val="0"/>
          <c:spPr>
            <a:noFill/>
            <a:ln>
              <a:noFill/>
            </a:ln>
          </c:spPr>
        </c:title>
        <c:delete val="0"/>
        <c:numFmt formatCode="General" sourceLinked="1"/>
        <c:majorTickMark val="in"/>
        <c:minorTickMark val="none"/>
        <c:tickLblPos val="nextTo"/>
        <c:spPr>
          <a:ln w="25400">
            <a:solidFill/>
          </a:ln>
        </c:spPr>
        <c:txPr>
          <a:bodyPr/>
          <a:lstStyle/>
          <a:p>
            <a:pPr>
              <a:defRPr lang="en-US" cap="none" sz="800" b="1" i="0" u="none" baseline="0"/>
            </a:pPr>
          </a:p>
        </c:txPr>
        <c:crossAx val="66891264"/>
        <c:crosses val="autoZero"/>
        <c:auto val="0"/>
        <c:lblOffset val="100"/>
        <c:noMultiLvlLbl val="0"/>
      </c:catAx>
      <c:valAx>
        <c:axId val="66891264"/>
        <c:scaling>
          <c:orientation val="minMax"/>
        </c:scaling>
        <c:axPos val="l"/>
        <c:delete val="0"/>
        <c:numFmt formatCode="#,##0" sourceLinked="0"/>
        <c:majorTickMark val="in"/>
        <c:minorTickMark val="none"/>
        <c:tickLblPos val="nextTo"/>
        <c:spPr>
          <a:ln w="25400">
            <a:solidFill/>
          </a:ln>
        </c:spPr>
        <c:txPr>
          <a:bodyPr/>
          <a:lstStyle/>
          <a:p>
            <a:pPr>
              <a:defRPr lang="en-US" cap="none" sz="800" b="1" i="0" u="none" baseline="0"/>
            </a:pPr>
          </a:p>
        </c:txPr>
        <c:crossAx val="14888903"/>
        <c:crossesAt val="1"/>
        <c:crossBetween val="between"/>
        <c:dispUnits/>
      </c:valAx>
      <c:catAx>
        <c:axId val="65150465"/>
        <c:scaling>
          <c:orientation val="minMax"/>
        </c:scaling>
        <c:axPos val="b"/>
        <c:title>
          <c:tx>
            <c:rich>
              <a:bodyPr vert="horz" rot="0" anchor="ctr"/>
              <a:lstStyle/>
              <a:p>
                <a:pPr algn="ctr">
                  <a:defRPr/>
                </a:pPr>
                <a:r>
                  <a:rPr lang="en-US" cap="none" sz="900" b="1" i="0" u="none" baseline="0"/>
                  <a:t>Tahsilat Oranı ( % )</a:t>
                </a:r>
              </a:p>
            </c:rich>
          </c:tx>
          <c:layout>
            <c:manualLayout>
              <c:xMode val="factor"/>
              <c:yMode val="factor"/>
              <c:x val="0.0095"/>
              <c:y val="0.09375"/>
            </c:manualLayout>
          </c:layout>
          <c:overlay val="0"/>
          <c:spPr>
            <a:noFill/>
            <a:ln>
              <a:noFill/>
            </a:ln>
          </c:spPr>
        </c:title>
        <c:delete val="1"/>
        <c:majorTickMark val="in"/>
        <c:minorTickMark val="none"/>
        <c:tickLblPos val="nextTo"/>
        <c:crossAx val="49483274"/>
        <c:crosses val="autoZero"/>
        <c:auto val="0"/>
        <c:lblOffset val="100"/>
        <c:noMultiLvlLbl val="0"/>
      </c:catAx>
      <c:valAx>
        <c:axId val="49483274"/>
        <c:scaling>
          <c:orientation val="minMax"/>
          <c:min val="0"/>
        </c:scaling>
        <c:axPos val="l"/>
        <c:delete val="0"/>
        <c:numFmt formatCode="General" sourceLinked="1"/>
        <c:majorTickMark val="in"/>
        <c:minorTickMark val="none"/>
        <c:tickLblPos val="nextTo"/>
        <c:txPr>
          <a:bodyPr/>
          <a:lstStyle/>
          <a:p>
            <a:pPr>
              <a:defRPr lang="en-US" cap="none" sz="800" b="1" i="0" u="none" baseline="0"/>
            </a:pPr>
          </a:p>
        </c:txPr>
        <c:crossAx val="65150465"/>
        <c:crosses val="max"/>
        <c:crossBetween val="between"/>
        <c:dispUnits/>
        <c:majorUnit val="10"/>
      </c:valAx>
      <c:spPr>
        <a:blipFill>
          <a:blip r:embed="rId1"/>
          <a:srcRect/>
          <a:tile sx="100000" sy="100000" flip="none" algn="tl"/>
        </a:blipFill>
        <a:ln w="3175">
          <a:noFill/>
        </a:ln>
      </c:spPr>
    </c:plotArea>
    <c:legend>
      <c:legendPos val="b"/>
      <c:layout>
        <c:manualLayout>
          <c:xMode val="edge"/>
          <c:yMode val="edge"/>
          <c:x val="0"/>
          <c:y val="0.949"/>
          <c:w val="0.896"/>
          <c:h val="0.043"/>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9 - 2005 Yılı Prim Gelirlerinin Emekli Ödemelerini Karşılama Oranı                            </a:t>
            </a:r>
            <a:r>
              <a:rPr lang="en-US" cap="none" sz="1200" b="0" i="1" u="none" baseline="0">
                <a:solidFill>
                  <a:srgbClr val="0000FF"/>
                </a:solidFill>
              </a:rPr>
              <a:t>( Compensation rate of Pension Payments by Premium incomes )</a:t>
            </a:r>
          </a:p>
        </c:rich>
      </c:tx>
      <c:layout/>
      <c:spPr>
        <a:noFill/>
        <a:ln>
          <a:noFill/>
        </a:ln>
      </c:spPr>
    </c:title>
    <c:plotArea>
      <c:layout>
        <c:manualLayout>
          <c:xMode val="edge"/>
          <c:yMode val="edge"/>
          <c:x val="0.01525"/>
          <c:y val="0.22125"/>
          <c:w val="0.98475"/>
          <c:h val="0.5925"/>
        </c:manualLayout>
      </c:layout>
      <c:barChart>
        <c:barDir val="col"/>
        <c:grouping val="clustered"/>
        <c:varyColors val="0"/>
        <c:ser>
          <c:idx val="1"/>
          <c:order val="0"/>
          <c:tx>
            <c:strRef>
              <c:f>'10'!$B$3:$B$4</c:f>
              <c:strCache>
                <c:ptCount val="1"/>
                <c:pt idx="0">
                  <c:v> 2005 YILI  PRİM GELİRLERİ</c:v>
                </c:pt>
              </c:strCache>
            </c:strRef>
          </c:tx>
          <c:spPr>
            <a:gradFill rotWithShape="1">
              <a:gsLst>
                <a:gs pos="0">
                  <a:srgbClr val="FFFF00"/>
                </a:gs>
                <a:gs pos="100000">
                  <a:srgbClr val="7575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'10'!$A$5:$A$16</c:f>
              <c:strCache/>
            </c:strRef>
          </c:cat>
          <c:val>
            <c:numRef>
              <c:f>'10'!$B$5:$B$16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'10'!$C$3:$C$4</c:f>
              <c:strCache>
                <c:ptCount val="1"/>
                <c:pt idx="0">
                  <c:v> 2005 YILI  EMEKLİ ÖDEMELERİ</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'10'!$A$5:$A$16</c:f>
              <c:strCache/>
            </c:strRef>
          </c:cat>
          <c:val>
            <c:numRef>
              <c:f>'10'!$C$5:$C$16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696283"/>
        <c:axId val="48722228"/>
      </c:barChart>
      <c:lineChart>
        <c:grouping val="standard"/>
        <c:varyColors val="0"/>
        <c:ser>
          <c:idx val="2"/>
          <c:order val="2"/>
          <c:tx>
            <c:strRef>
              <c:f>'10'!$D$3:$D$4</c:f>
              <c:strCache>
                <c:ptCount val="1"/>
                <c:pt idx="0">
                  <c:v> 2005 YILI  PRİM GELİRLERİNİN EMEKLİ ÖDEMELERİNİ KARŞILAMA ORANI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showLegendKey val="0"/>
            <c:showVal val="1"/>
            <c:showBubbleSize val="0"/>
            <c:showCatName val="0"/>
            <c:showSerName val="0"/>
            <c:showLeaderLines val="1"/>
            <c:showPercent val="0"/>
          </c:dLbls>
          <c:cat>
            <c:strRef>
              <c:f>'10'!$A$5:$A$16</c:f>
              <c:strCache/>
            </c:strRef>
          </c:cat>
          <c:val>
            <c:numRef>
              <c:f>'10'!$D$5:$D$16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35846869"/>
        <c:axId val="54186366"/>
      </c:lineChart>
      <c:catAx>
        <c:axId val="42696283"/>
        <c:scaling>
          <c:orientation val="minMax"/>
        </c:scaling>
        <c:axPos val="b"/>
        <c:title>
          <c:tx>
            <c:rich>
              <a:bodyPr vert="horz" rot="0" anchor="ctr"/>
              <a:lstStyle/>
              <a:p>
                <a:pPr algn="ctr">
                  <a:defRPr/>
                </a:pPr>
                <a:r>
                  <a:rPr lang="en-US" cap="none" sz="1000" b="1" i="0" u="none" baseline="0"/>
                  <a:t> Milyar TL</a:t>
                </a:r>
              </a:p>
            </c:rich>
          </c:tx>
          <c:layout>
            <c:manualLayout>
              <c:xMode val="factor"/>
              <c:yMode val="factor"/>
              <c:x val="0.25725"/>
              <c:y val="-0.10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1" i="0" u="none" baseline="0"/>
            </a:pPr>
          </a:p>
        </c:txPr>
        <c:crossAx val="48722228"/>
        <c:crosses val="autoZero"/>
        <c:auto val="0"/>
        <c:lblOffset val="100"/>
        <c:noMultiLvlLbl val="0"/>
      </c:catAx>
      <c:valAx>
        <c:axId val="48722228"/>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42696283"/>
        <c:crossesAt val="1"/>
        <c:crossBetween val="between"/>
        <c:dispUnits/>
      </c:valAx>
      <c:catAx>
        <c:axId val="35846869"/>
        <c:scaling>
          <c:orientation val="minMax"/>
        </c:scaling>
        <c:axPos val="b"/>
        <c:title>
          <c:tx>
            <c:rich>
              <a:bodyPr vert="horz" rot="0" anchor="ctr"/>
              <a:lstStyle/>
              <a:p>
                <a:pPr algn="ctr">
                  <a:defRPr/>
                </a:pPr>
                <a:r>
                  <a:rPr lang="en-US" cap="none" sz="1000" b="1" i="0" u="none" baseline="0"/>
                  <a:t>Karşılama Oranı ( % )</a:t>
                </a:r>
              </a:p>
            </c:rich>
          </c:tx>
          <c:layout>
            <c:manualLayout>
              <c:xMode val="factor"/>
              <c:yMode val="factor"/>
              <c:x val="0.009"/>
              <c:y val="0.09175"/>
            </c:manualLayout>
          </c:layout>
          <c:overlay val="0"/>
          <c:spPr>
            <a:noFill/>
            <a:ln>
              <a:noFill/>
            </a:ln>
          </c:spPr>
        </c:title>
        <c:delete val="1"/>
        <c:majorTickMark val="in"/>
        <c:minorTickMark val="none"/>
        <c:tickLblPos val="nextTo"/>
        <c:crossAx val="54186366"/>
        <c:crosses val="autoZero"/>
        <c:auto val="0"/>
        <c:lblOffset val="100"/>
        <c:noMultiLvlLbl val="0"/>
      </c:catAx>
      <c:valAx>
        <c:axId val="54186366"/>
        <c:scaling>
          <c:orientation val="minMax"/>
          <c:max val="100"/>
          <c:min val="0"/>
        </c:scaling>
        <c:axPos val="l"/>
        <c:delete val="0"/>
        <c:numFmt formatCode="0" sourceLinked="0"/>
        <c:majorTickMark val="in"/>
        <c:minorTickMark val="none"/>
        <c:tickLblPos val="nextTo"/>
        <c:txPr>
          <a:bodyPr/>
          <a:lstStyle/>
          <a:p>
            <a:pPr>
              <a:defRPr lang="en-US" cap="none" sz="800" b="1" i="0" u="none" baseline="0"/>
            </a:pPr>
          </a:p>
        </c:txPr>
        <c:crossAx val="35846869"/>
        <c:crosses val="max"/>
        <c:crossBetween val="between"/>
        <c:dispUnits/>
        <c:majorUnit val="10"/>
        <c:minorUnit val="10"/>
      </c:valAx>
      <c:spPr>
        <a:blipFill>
          <a:blip r:embed="rId1"/>
          <a:srcRect/>
          <a:tile sx="100000" sy="100000" flip="none" algn="tl"/>
        </a:blipFill>
        <a:ln w="3175">
          <a:noFill/>
        </a:ln>
      </c:spPr>
    </c:plotArea>
    <c:legend>
      <c:legendPos val="b"/>
      <c:layout>
        <c:manualLayout>
          <c:xMode val="edge"/>
          <c:yMode val="edge"/>
          <c:x val="0"/>
          <c:y val="0.88375"/>
          <c:w val="0.93675"/>
          <c:h val="0.10325"/>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10 - 2005 Yılı Hazineden Yapılan Transferler  Oranları</a:t>
            </a:r>
          </a:p>
        </c:rich>
      </c:tx>
      <c:layout>
        <c:manualLayout>
          <c:xMode val="factor"/>
          <c:yMode val="factor"/>
          <c:x val="0.03275"/>
          <c:y val="0.035"/>
        </c:manualLayout>
      </c:layout>
      <c:spPr>
        <a:noFill/>
        <a:ln>
          <a:noFill/>
        </a:ln>
      </c:spPr>
    </c:title>
    <c:view3D>
      <c:rotX val="15"/>
      <c:hPercent val="100"/>
      <c:rotY val="0"/>
      <c:depthPercent val="100"/>
      <c:rAngAx val="1"/>
    </c:view3D>
    <c:plotArea>
      <c:layout>
        <c:manualLayout>
          <c:xMode val="edge"/>
          <c:yMode val="edge"/>
          <c:x val="0"/>
          <c:y val="0.33125"/>
          <c:w val="0.9265"/>
          <c:h val="0.52125"/>
        </c:manualLayout>
      </c:layout>
      <c:pie3DChart>
        <c:varyColors val="1"/>
        <c:ser>
          <c:idx val="0"/>
          <c:order val="0"/>
          <c:spPr>
            <a:gradFill rotWithShape="1">
              <a:gsLst>
                <a:gs pos="0">
                  <a:srgbClr val="465E00"/>
                </a:gs>
                <a:gs pos="100000">
                  <a:srgbClr val="99CC00"/>
                </a:gs>
              </a:gsLst>
              <a:path path="rect">
                <a:fillToRect l="50000" t="50000" r="50000" b="50000"/>
              </a:path>
            </a:gradFill>
            <a:ln w="25400">
              <a:solidFill/>
            </a:ln>
          </c:spPr>
          <c:explosion val="2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465E00"/>
                  </a:gs>
                  <a:gs pos="100000">
                    <a:srgbClr val="99CC00"/>
                  </a:gs>
                </a:gsLst>
                <a:path path="rect">
                  <a:fillToRect l="50000" t="50000" r="50000" b="50000"/>
                </a:path>
              </a:gradFill>
              <a:ln w="25400">
                <a:solidFill/>
              </a:ln>
            </c:spPr>
          </c:dPt>
          <c:dPt>
            <c:idx val="1"/>
            <c:spPr>
              <a:gradFill rotWithShape="1">
                <a:gsLst>
                  <a:gs pos="0">
                    <a:srgbClr val="99CCFF"/>
                  </a:gs>
                  <a:gs pos="50000">
                    <a:srgbClr val="0000FF"/>
                  </a:gs>
                  <a:gs pos="100000">
                    <a:srgbClr val="99CCFF"/>
                  </a:gs>
                </a:gsLst>
                <a:lin ang="2700000" scaled="1"/>
              </a:gradFill>
              <a:ln w="25400">
                <a:solidFill/>
              </a:ln>
            </c:spPr>
          </c:dPt>
          <c:dLbls>
            <c:dLbl>
              <c:idx val="0"/>
              <c:layout>
                <c:manualLayout>
                  <c:x val="0"/>
                  <c:y val="0"/>
                </c:manualLayout>
              </c:layout>
              <c:tx>
                <c:rich>
                  <a:bodyPr vert="horz" rot="0" anchor="ctr"/>
                  <a:lstStyle/>
                  <a:p>
                    <a:pPr algn="ctr">
                      <a:defRPr/>
                    </a:pPr>
                    <a:r>
                      <a:rPr lang="en-US" cap="none" sz="825" b="1" i="0" u="none" baseline="0"/>
                      <a:t> Hazine Yardımı         % 84,76</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825" b="1" i="0" u="none" baseline="0"/>
                      <a:t> Bağ-Kur Adına          
      % 15,24</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825" b="1" i="0" u="none" baseline="0"/>
                </a:pPr>
              </a:p>
            </c:txPr>
            <c:showLegendKey val="0"/>
            <c:showVal val="1"/>
            <c:showBubbleSize val="0"/>
            <c:showCatName val="0"/>
            <c:showSerName val="0"/>
            <c:showLeaderLines val="1"/>
            <c:showPercent val="1"/>
          </c:dLbls>
          <c:val>
            <c:numRef>
              <c:f>'11'!$D$17:$E$17</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11 - 2006 Yılı Hazineden Yapılan Transfer  Oranları</a:t>
            </a:r>
          </a:p>
        </c:rich>
      </c:tx>
      <c:layout>
        <c:manualLayout>
          <c:xMode val="factor"/>
          <c:yMode val="factor"/>
          <c:x val="-0.01475"/>
          <c:y val="0.05975"/>
        </c:manualLayout>
      </c:layout>
      <c:spPr>
        <a:noFill/>
        <a:ln>
          <a:noFill/>
        </a:ln>
      </c:spPr>
    </c:title>
    <c:view3D>
      <c:rotX val="15"/>
      <c:hPercent val="100"/>
      <c:rotY val="0"/>
      <c:depthPercent val="100"/>
      <c:rAngAx val="1"/>
    </c:view3D>
    <c:plotArea>
      <c:layout>
        <c:manualLayout>
          <c:xMode val="edge"/>
          <c:yMode val="edge"/>
          <c:x val="0.287"/>
          <c:y val="0.445"/>
          <c:w val="0.451"/>
          <c:h val="0.4325"/>
        </c:manualLayout>
      </c:layout>
      <c:pie3DChart>
        <c:varyColors val="1"/>
        <c:ser>
          <c:idx val="0"/>
          <c:order val="0"/>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CC99"/>
                  </a:gs>
                  <a:gs pos="100000">
                    <a:srgbClr val="755E46"/>
                  </a:gs>
                </a:gsLst>
                <a:path path="rect">
                  <a:fillToRect l="100000" b="100000"/>
                </a:path>
              </a:gradFill>
            </c:spPr>
          </c:dPt>
          <c:dPt>
            <c:idx val="1"/>
            <c:spPr>
              <a:gradFill rotWithShape="1">
                <a:gsLst>
                  <a:gs pos="0">
                    <a:srgbClr val="757575"/>
                  </a:gs>
                  <a:gs pos="50000">
                    <a:srgbClr val="FFFFFF"/>
                  </a:gs>
                  <a:gs pos="100000">
                    <a:srgbClr val="757575"/>
                  </a:gs>
                </a:gsLst>
                <a:lin ang="5400000" scaled="1"/>
              </a:gradFill>
            </c:spPr>
          </c:dPt>
          <c:dLbls>
            <c:dLbl>
              <c:idx val="0"/>
              <c:layout>
                <c:manualLayout>
                  <c:x val="0"/>
                  <c:y val="0"/>
                </c:manualLayout>
              </c:layout>
              <c:tx>
                <c:rich>
                  <a:bodyPr vert="horz" rot="0" anchor="ctr"/>
                  <a:lstStyle/>
                  <a:p>
                    <a:pPr algn="ctr">
                      <a:defRPr/>
                    </a:pPr>
                    <a:r>
                      <a:rPr lang="en-US" cap="none" sz="1200" b="1" i="0" u="none" baseline="0"/>
                      <a:t> </a:t>
                    </a:r>
                    <a:r>
                      <a:rPr lang="en-US" cap="none" sz="800" b="1" i="0" u="none" baseline="0"/>
                      <a:t>Hazine Yardımı    </a:t>
                    </a:r>
                    <a:r>
                      <a:rPr lang="en-US" cap="none" sz="1200" b="1" i="0" u="none" baseline="0"/>
                      <a:t>     % 81</a:t>
                    </a:r>
                  </a:p>
                </c:rich>
              </c:tx>
              <c:numFmt formatCode="General" sourceLinked="1"/>
              <c:showLegendKey val="0"/>
              <c:showVal val="1"/>
              <c:showBubbleSize val="0"/>
              <c:showCatName val="0"/>
              <c:showSerName val="0"/>
              <c:showPercent val="1"/>
            </c:dLbl>
            <c:dLbl>
              <c:idx val="1"/>
              <c:layout>
                <c:manualLayout>
                  <c:x val="0"/>
                  <c:y val="0"/>
                </c:manualLayout>
              </c:layout>
              <c:tx>
                <c:rich>
                  <a:bodyPr vert="horz" rot="0" anchor="ctr"/>
                  <a:lstStyle/>
                  <a:p>
                    <a:pPr algn="ctr">
                      <a:defRPr/>
                    </a:pPr>
                    <a:r>
                      <a:rPr lang="en-US" cap="none" sz="1200" b="1" i="0" u="none" baseline="0"/>
                      <a:t> </a:t>
                    </a:r>
                    <a:r>
                      <a:rPr lang="en-US" cap="none" sz="800" b="1" i="0" u="none" baseline="0"/>
                      <a:t>Ek Ödeme   </a:t>
                    </a:r>
                    <a:r>
                      <a:rPr lang="en-US" cap="none" sz="1200" b="1" i="0" u="none" baseline="0"/>
                      <a:t>       
      % 6 </a:t>
                    </a:r>
                  </a:p>
                </c:rich>
              </c:tx>
              <c:numFmt formatCode="General" sourceLinked="1"/>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1" i="0" u="none" baseline="0"/>
                      <a:t> Bağ - Kur Adına Alınan </a:t>
                    </a:r>
                    <a:r>
                      <a:rPr lang="en-US" cap="none" sz="1200" b="1" i="0" u="none" baseline="0"/>
                      <a:t>                % 13
</a:t>
                    </a:r>
                  </a:p>
                </c:rich>
              </c:tx>
              <c:numFmt formatCode="General" sourceLinked="1"/>
              <c:showLegendKey val="0"/>
              <c:showVal val="1"/>
              <c:showBubbleSize val="0"/>
              <c:showCatName val="0"/>
              <c:showSerName val="0"/>
              <c:showPercent val="1"/>
            </c:dLbl>
            <c:numFmt formatCode="0.00%" sourceLinked="0"/>
            <c:txPr>
              <a:bodyPr vert="horz" rot="0" anchor="ctr"/>
              <a:lstStyle/>
              <a:p>
                <a:pPr algn="ctr">
                  <a:defRPr lang="en-US" cap="none" sz="1200" b="1" i="0" u="none" baseline="0"/>
                </a:pPr>
              </a:p>
            </c:txPr>
            <c:showLegendKey val="0"/>
            <c:showVal val="1"/>
            <c:showBubbleSize val="0"/>
            <c:showCatName val="0"/>
            <c:showSerName val="0"/>
            <c:showLeaderLines val="1"/>
            <c:showPercent val="1"/>
          </c:dLbls>
          <c:val>
            <c:numRef>
              <c:f>'12'!$D$17:$F$17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381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12 - Yıllar İtibariyle Aktif Pasif Oranı</a:t>
            </a:r>
          </a:p>
        </c:rich>
      </c:tx>
      <c:layout>
        <c:manualLayout>
          <c:xMode val="factor"/>
          <c:yMode val="factor"/>
          <c:x val="-0.001"/>
          <c:y val="0.0145"/>
        </c:manualLayout>
      </c:layout>
      <c:spPr>
        <a:noFill/>
        <a:ln>
          <a:noFill/>
        </a:ln>
      </c:spPr>
    </c:title>
    <c:plotArea>
      <c:layout>
        <c:manualLayout>
          <c:xMode val="edge"/>
          <c:yMode val="edge"/>
          <c:x val="0.01275"/>
          <c:y val="0.22725"/>
          <c:w val="0.955"/>
          <c:h val="0.63275"/>
        </c:manualLayout>
      </c:layout>
      <c:lineChart>
        <c:grouping val="standard"/>
        <c:varyColors val="0"/>
        <c:ser>
          <c:idx val="8"/>
          <c:order val="0"/>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LeaderLines val="1"/>
            <c:showPercent val="0"/>
          </c:dLbls>
          <c:cat>
            <c:strRef>
              <c:f>'13'!$B$3:$I$3</c:f>
              <c:strCache/>
            </c:strRef>
          </c:cat>
          <c:val>
            <c:numRef>
              <c:f>'13'!$B$12:$I$12</c:f>
              <c:numCache/>
            </c:numRef>
          </c:val>
          <c:smooth val="1"/>
        </c:ser>
        <c:marker val="1"/>
        <c:axId val="17915247"/>
        <c:axId val="27019496"/>
      </c:lineChart>
      <c:catAx>
        <c:axId val="17915247"/>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125"/>
              <c:y val="-0.1207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27019496"/>
        <c:crosses val="autoZero"/>
        <c:auto val="1"/>
        <c:lblOffset val="100"/>
        <c:noMultiLvlLbl val="0"/>
      </c:catAx>
      <c:valAx>
        <c:axId val="27019496"/>
        <c:scaling>
          <c:orientation val="minMax"/>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1" i="0" u="none" baseline="0"/>
            </a:pPr>
          </a:p>
        </c:txPr>
        <c:crossAx val="17915247"/>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38100">
      <a:solidFill/>
    </a:ln>
    <a:effectLst>
      <a:outerShdw dist="35921" dir="2700000" algn="br">
        <a:prstClr val="black"/>
      </a:outerShdw>
    </a:effectLst>
  </c:spPr>
  <c:txPr>
    <a:bodyPr vert="horz" rot="0"/>
    <a:lstStyle/>
    <a:p>
      <a:pPr>
        <a:defRPr lang="en-US" cap="none" sz="1050" b="0" i="0" u="none" baseline="0">
          <a:latin typeface="Arial Tur"/>
          <a:ea typeface="Arial Tur"/>
          <a:cs typeface="Arial Tu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50" b="1" i="0" u="none" baseline="0">
                <a:solidFill>
                  <a:srgbClr val="0000FF"/>
                </a:solidFill>
              </a:rPr>
              <a:t>Grafik 12 - Yıllar İtibariyle Aktif - Pasif Oranı</a:t>
            </a:r>
          </a:p>
        </c:rich>
      </c:tx>
      <c:layout/>
      <c:spPr>
        <a:noFill/>
        <a:ln>
          <a:noFill/>
        </a:ln>
      </c:spPr>
    </c:title>
    <c:plotArea>
      <c:layout>
        <c:manualLayout>
          <c:xMode val="edge"/>
          <c:yMode val="edge"/>
          <c:x val="0.0125"/>
          <c:y val="0.20125"/>
          <c:w val="0.92125"/>
          <c:h val="0.6405"/>
        </c:manualLayout>
      </c:layout>
      <c:lineChart>
        <c:grouping val="standard"/>
        <c:varyColors val="0"/>
        <c:ser>
          <c:idx val="0"/>
          <c:order val="0"/>
          <c:tx>
            <c:strRef>
              <c:f>'[1]13'!$A$35</c:f>
              <c:strCache>
                <c:ptCount val="1"/>
                <c:pt idx="0">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'[1]13'!$B$34:$P$34</c:f>
              <c:numCache>
                <c:ptCount val="15"/>
                <c:pt idx="0">
                  <c:v>1960</c:v>
                </c:pt>
                <c:pt idx="1">
                  <c:v>1965</c:v>
                </c:pt>
                <c:pt idx="2">
                  <c:v>1970</c:v>
                </c:pt>
                <c:pt idx="3">
                  <c:v>1975</c:v>
                </c:pt>
                <c:pt idx="4">
                  <c:v>1980</c:v>
                </c:pt>
                <c:pt idx="5">
                  <c:v>1985</c:v>
                </c:pt>
                <c:pt idx="6">
                  <c:v>1990</c:v>
                </c:pt>
                <c:pt idx="7">
                  <c:v>1995</c:v>
                </c:pt>
                <c:pt idx="8">
                  <c:v>1999</c:v>
                </c:pt>
                <c:pt idx="9">
                  <c:v>2000</c:v>
                </c:pt>
                <c:pt idx="10">
                  <c:v>2001</c:v>
                </c:pt>
                <c:pt idx="11">
                  <c:v>2002</c:v>
                </c:pt>
                <c:pt idx="12">
                  <c:v>2003</c:v>
                </c:pt>
                <c:pt idx="13">
                  <c:v>2004</c:v>
                </c:pt>
                <c:pt idx="14">
                  <c:v>2005</c:v>
                </c:pt>
              </c:numCache>
            </c:numRef>
          </c:cat>
          <c:val>
            <c:numRef>
              <c:f>'[1]13'!$B$35:$P$35</c:f>
              <c:numCache>
                <c:ptCount val="15"/>
                <c:pt idx="0">
                  <c:v>24.3</c:v>
                </c:pt>
                <c:pt idx="1">
                  <c:v>16.88</c:v>
                </c:pt>
                <c:pt idx="2">
                  <c:v>9.03</c:v>
                </c:pt>
                <c:pt idx="3">
                  <c:v>6.29</c:v>
                </c:pt>
                <c:pt idx="4">
                  <c:v>3.47</c:v>
                </c:pt>
                <c:pt idx="5">
                  <c:v>2.45</c:v>
                </c:pt>
                <c:pt idx="6">
                  <c:v>2.39</c:v>
                </c:pt>
                <c:pt idx="7">
                  <c:v>2.44</c:v>
                </c:pt>
                <c:pt idx="8">
                  <c:v>2.02</c:v>
                </c:pt>
                <c:pt idx="9">
                  <c:v>1.97</c:v>
                </c:pt>
                <c:pt idx="10">
                  <c:v>1.72</c:v>
                </c:pt>
                <c:pt idx="11">
                  <c:v>1.75</c:v>
                </c:pt>
                <c:pt idx="12">
                  <c:v>1.72</c:v>
                </c:pt>
                <c:pt idx="13">
                  <c:v>1.69</c:v>
                </c:pt>
                <c:pt idx="14">
                  <c:v>1.75</c:v>
                </c:pt>
              </c:numCache>
            </c:numRef>
          </c:val>
          <c:smooth val="1"/>
        </c:ser>
        <c:marker val="1"/>
        <c:axId val="41848873"/>
        <c:axId val="41095538"/>
      </c:lineChart>
      <c:catAx>
        <c:axId val="41848873"/>
        <c:scaling>
          <c:orientation val="minMax"/>
        </c:scaling>
        <c:axPos val="b"/>
        <c:title>
          <c:tx>
            <c:rich>
              <a:bodyPr vert="horz" rot="0" anchor="ctr"/>
              <a:lstStyle/>
              <a:p>
                <a:pPr algn="ctr">
                  <a:defRPr/>
                </a:pPr>
                <a:r>
                  <a:rPr lang="en-US" cap="none" sz="800" b="1" i="0" u="none" baseline="0"/>
                  <a:t>Oran</a:t>
                </a:r>
              </a:p>
            </c:rich>
          </c:tx>
          <c:layout>
            <c:manualLayout>
              <c:xMode val="factor"/>
              <c:yMode val="factor"/>
              <c:x val="0.27525"/>
              <c:y val="-0.12125"/>
            </c:manualLayout>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800" b="1" i="0" u="none" baseline="0"/>
            </a:pPr>
          </a:p>
        </c:txPr>
        <c:crossAx val="41095538"/>
        <c:crosses val="autoZero"/>
        <c:auto val="1"/>
        <c:lblOffset val="100"/>
        <c:noMultiLvlLbl val="0"/>
      </c:catAx>
      <c:valAx>
        <c:axId val="41095538"/>
        <c:scaling>
          <c:orientation val="minMax"/>
        </c:scaling>
        <c:axPos val="l"/>
        <c:majorGridlines>
          <c:spPr>
            <a:ln w="3175">
              <a:solidFill/>
              <a:prstDash val="sysDot"/>
            </a:ln>
          </c:spPr>
        </c:majorGridlines>
        <c:delete val="0"/>
        <c:numFmt formatCode="0.00" sourceLinked="0"/>
        <c:majorTickMark val="out"/>
        <c:minorTickMark val="none"/>
        <c:tickLblPos val="nextTo"/>
        <c:spPr>
          <a:ln w="25400">
            <a:solidFill/>
          </a:ln>
        </c:spPr>
        <c:txPr>
          <a:bodyPr/>
          <a:lstStyle/>
          <a:p>
            <a:pPr>
              <a:defRPr lang="en-US" cap="none" sz="800" b="1" i="0" u="none" baseline="0"/>
            </a:pPr>
          </a:p>
        </c:txPr>
        <c:crossAx val="41848873"/>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200" b="0" i="0" u="none" baseline="0">
          <a:latin typeface="Arial Tur"/>
          <a:ea typeface="Arial Tur"/>
          <a:cs typeface="Arial Tur"/>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13 - Kurumumuzdan 2005 yılı sonu itibariyle Aylık ve Gelir Alanların Sayısı</a:t>
            </a:r>
          </a:p>
        </c:rich>
      </c:tx>
      <c:layout>
        <c:manualLayout>
          <c:xMode val="factor"/>
          <c:yMode val="factor"/>
          <c:x val="-0.00125"/>
          <c:y val="0"/>
        </c:manualLayout>
      </c:layout>
      <c:spPr>
        <a:noFill/>
        <a:ln>
          <a:noFill/>
        </a:ln>
      </c:spPr>
    </c:title>
    <c:view3D>
      <c:rotX val="15"/>
      <c:hPercent val="100"/>
      <c:rotY val="0"/>
      <c:depthPercent val="100"/>
      <c:rAngAx val="1"/>
    </c:view3D>
    <c:plotArea>
      <c:layout>
        <c:manualLayout>
          <c:xMode val="edge"/>
          <c:yMode val="edge"/>
          <c:x val="0.15675"/>
          <c:y val="0.30225"/>
          <c:w val="0.6815"/>
          <c:h val="0.568"/>
        </c:manualLayout>
      </c:layout>
      <c:pie3DChart>
        <c:varyColors val="1"/>
        <c:ser>
          <c:idx val="7"/>
          <c:order val="0"/>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FFFF"/>
                  </a:gs>
                  <a:gs pos="100000">
                    <a:srgbClr val="000000"/>
                  </a:gs>
                </a:gsLst>
                <a:path path="rect">
                  <a:fillToRect l="50000" t="50000" r="50000" b="50000"/>
                </a:path>
              </a:gradFill>
            </c:spPr>
          </c:dPt>
          <c:dPt>
            <c:idx val="1"/>
            <c:spPr>
              <a:gradFill rotWithShape="1">
                <a:gsLst>
                  <a:gs pos="0">
                    <a:srgbClr val="969696"/>
                  </a:gs>
                  <a:gs pos="100000">
                    <a:srgbClr val="FFFFFF"/>
                  </a:gs>
                </a:gsLst>
                <a:path path="rect">
                  <a:fillToRect l="50000" t="50000" r="50000" b="50000"/>
                </a:path>
              </a:gradFill>
              <a:ln w="25400">
                <a:solidFill/>
              </a:ln>
            </c:spPr>
          </c:dPt>
          <c:dPt>
            <c:idx val="2"/>
            <c:spPr>
              <a:pattFill prst="pct20">
                <a:fgClr>
                  <a:srgbClr val="FFFFFF"/>
                </a:fgClr>
                <a:bgClr>
                  <a:srgbClr val="808080"/>
                </a:bgClr>
              </a:pattFill>
            </c:spPr>
          </c:dPt>
          <c:dPt>
            <c:idx val="3"/>
            <c:spPr>
              <a:solidFill>
                <a:srgbClr val="FFFFFF"/>
              </a:solidFill>
              <a:ln w="25400">
                <a:solidFill/>
              </a:ln>
            </c:spPr>
          </c:dPt>
          <c:dPt>
            <c:idx val="4"/>
            <c:spPr>
              <a:solidFill>
                <a:srgbClr val="333333"/>
              </a:solidFill>
            </c:spPr>
          </c:dPt>
          <c:dLbls>
            <c:dLbl>
              <c:idx val="0"/>
              <c:layout>
                <c:manualLayout>
                  <c:x val="0"/>
                  <c:y val="0"/>
                </c:manualLayout>
              </c:layout>
              <c:tx>
                <c:rich>
                  <a:bodyPr vert="horz" rot="0" anchor="ctr"/>
                  <a:lstStyle/>
                  <a:p>
                    <a:pPr algn="ctr">
                      <a:defRPr/>
                    </a:pPr>
                    <a:r>
                      <a:rPr lang="en-US" cap="none" sz="800" b="1" i="0" u="none" baseline="0"/>
                      <a:t>Malullük Aylığı Al.                  </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800" b="1" i="0" u="none" baseline="0"/>
                      <a:t>Yaşlılık Aylığı Al.                   </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00" b="1" i="0" u="none" baseline="0"/>
                      <a:t>Ölüm Aylığı Alanlar              </a:t>
                    </a:r>
                  </a:p>
                </c:rich>
              </c:tx>
              <c:numFmt formatCode="General" sourceLinked="1"/>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800" b="1" i="0" u="none" baseline="0"/>
                      <a:t>Sürekli İşgör.Geliri Al.          </a:t>
                    </a:r>
                  </a:p>
                </c:rich>
              </c:tx>
              <c:numFmt formatCode="General" sourceLinked="1"/>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800" b="1" i="0" u="none" baseline="0"/>
                      <a:t>İşkazası ve Mes. Hast. Sonucu Ölüm Haksahipleri    </a:t>
                    </a:r>
                  </a:p>
                </c:rich>
              </c:tx>
              <c:numFmt formatCode="General" sourceLinked="1"/>
              <c:showLegendKey val="0"/>
              <c:showVal val="1"/>
              <c:showBubbleSize val="0"/>
              <c:showCatName val="1"/>
              <c:showSerName val="0"/>
              <c:showPercent val="1"/>
            </c:dLbl>
            <c:numFmt formatCode="0%" sourceLinked="0"/>
            <c:txPr>
              <a:bodyPr vert="horz" rot="0" anchor="ctr"/>
              <a:lstStyle/>
              <a:p>
                <a:pPr algn="ctr">
                  <a:defRPr lang="en-US" cap="none" sz="800" b="1" i="0" u="none" baseline="0"/>
                </a:pPr>
              </a:p>
            </c:txPr>
            <c:showLegendKey val="0"/>
            <c:showVal val="1"/>
            <c:showBubbleSize val="0"/>
            <c:showCatName val="1"/>
            <c:showSerName val="0"/>
            <c:showLeaderLines val="1"/>
            <c:showPercent val="1"/>
          </c:dLbls>
          <c:cat>
            <c:strRef>
              <c:f>'17'!$A$4:$A$8</c:f>
              <c:strCache/>
            </c:strRef>
          </c:cat>
          <c:val>
            <c:numRef>
              <c:f>'17'!$H$4:$H$8</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600" b="0" i="0" u="none" baseline="0">
          <a:latin typeface="Arial Tur"/>
          <a:ea typeface="Arial Tur"/>
          <a:cs typeface="Arial Tur"/>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14 - Kurumumuzdan 2005 yılı içinde Aylık ve Gelir Alanların Sayısı</a:t>
            </a:r>
          </a:p>
        </c:rich>
      </c:tx>
      <c:layout>
        <c:manualLayout>
          <c:xMode val="factor"/>
          <c:yMode val="factor"/>
          <c:x val="-0.0025"/>
          <c:y val="-0.01625"/>
        </c:manualLayout>
      </c:layout>
      <c:spPr>
        <a:noFill/>
        <a:ln>
          <a:noFill/>
        </a:ln>
      </c:spPr>
    </c:title>
    <c:view3D>
      <c:rotX val="15"/>
      <c:hPercent val="100"/>
      <c:rotY val="0"/>
      <c:depthPercent val="100"/>
      <c:rAngAx val="1"/>
    </c:view3D>
    <c:plotArea>
      <c:layout>
        <c:manualLayout>
          <c:xMode val="edge"/>
          <c:yMode val="edge"/>
          <c:x val="0.2415"/>
          <c:y val="0.3885"/>
          <c:w val="0.4535"/>
          <c:h val="0.44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pattFill prst="wdDnDiag">
                <a:fgClr>
                  <a:srgbClr val="000000"/>
                </a:fgClr>
                <a:bgClr>
                  <a:srgbClr val="FFFFFF"/>
                </a:bgClr>
              </a:pattFill>
            </c:spPr>
          </c:dPt>
          <c:dPt>
            <c:idx val="1"/>
            <c:spPr>
              <a:gradFill rotWithShape="1">
                <a:gsLst>
                  <a:gs pos="0">
                    <a:srgbClr val="FFFFFF"/>
                  </a:gs>
                  <a:gs pos="100000">
                    <a:srgbClr val="969696"/>
                  </a:gs>
                </a:gsLst>
                <a:path path="rect">
                  <a:fillToRect l="50000" t="50000" r="50000" b="50000"/>
                </a:path>
              </a:gradFill>
            </c:spPr>
          </c:dPt>
          <c:dPt>
            <c:idx val="3"/>
            <c:spPr>
              <a:solidFill>
                <a:srgbClr val="333333"/>
              </a:solidFill>
            </c:spPr>
          </c:dPt>
          <c:dPt>
            <c:idx val="4"/>
            <c:spPr>
              <a:solidFill>
                <a:srgbClr val="FFFFFF"/>
              </a:solidFill>
            </c:spPr>
          </c:dPt>
          <c:dLbls>
            <c:dLbl>
              <c:idx val="0"/>
              <c:layout>
                <c:manualLayout>
                  <c:x val="0"/>
                  <c:y val="0"/>
                </c:manualLayout>
              </c:layout>
              <c:tx>
                <c:rich>
                  <a:bodyPr vert="horz" rot="0" anchor="ctr"/>
                  <a:lstStyle/>
                  <a:p>
                    <a:pPr algn="ctr">
                      <a:defRPr/>
                    </a:pPr>
                    <a:r>
                      <a:rPr lang="en-US" cap="none" sz="850" b="1" i="0" u="none" baseline="0"/>
                      <a:t>Malüllük Aylığı Alanlar </a:t>
                    </a:r>
                  </a:p>
                </c:rich>
              </c:tx>
              <c:numFmt formatCode="General" sourceLinked="1"/>
              <c:showLegendKey val="0"/>
              <c:showVal val="1"/>
              <c:showBubbleSize val="0"/>
              <c:showCatName val="0"/>
              <c:showSerName val="1"/>
              <c:showPercent val="1"/>
            </c:dLbl>
            <c:dLbl>
              <c:idx val="1"/>
              <c:layout>
                <c:manualLayout>
                  <c:x val="0"/>
                  <c:y val="0"/>
                </c:manualLayout>
              </c:layout>
              <c:tx>
                <c:rich>
                  <a:bodyPr vert="horz" rot="0" anchor="ctr"/>
                  <a:lstStyle/>
                  <a:p>
                    <a:pPr algn="ctr">
                      <a:defRPr/>
                    </a:pPr>
                    <a:r>
                      <a:rPr lang="en-US" cap="none" sz="850" b="1" i="0" u="none" baseline="0"/>
                      <a:t>Yaşlılık Aylığı Alanlar </a:t>
                    </a:r>
                  </a:p>
                </c:rich>
              </c:tx>
              <c:numFmt formatCode="General" sourceLinked="1"/>
              <c:showLegendKey val="0"/>
              <c:showVal val="1"/>
              <c:showBubbleSize val="0"/>
              <c:showCatName val="0"/>
              <c:showSerName val="1"/>
              <c:showPercent val="1"/>
            </c:dLbl>
            <c:dLbl>
              <c:idx val="2"/>
              <c:layout>
                <c:manualLayout>
                  <c:x val="0"/>
                  <c:y val="0"/>
                </c:manualLayout>
              </c:layout>
              <c:tx>
                <c:rich>
                  <a:bodyPr vert="horz" rot="0" anchor="ctr"/>
                  <a:lstStyle/>
                  <a:p>
                    <a:pPr algn="ctr">
                      <a:defRPr/>
                    </a:pPr>
                    <a:r>
                      <a:rPr lang="en-US" cap="none" sz="850" b="1" i="0" u="none" baseline="0"/>
                      <a:t>Ölüm Aylığı Al.           </a:t>
                    </a:r>
                  </a:p>
                </c:rich>
              </c:tx>
              <c:numFmt formatCode="General" sourceLinked="1"/>
              <c:showLegendKey val="0"/>
              <c:showVal val="1"/>
              <c:showBubbleSize val="0"/>
              <c:showCatName val="0"/>
              <c:showSerName val="1"/>
              <c:showPercent val="1"/>
            </c:dLbl>
            <c:dLbl>
              <c:idx val="3"/>
              <c:layout>
                <c:manualLayout>
                  <c:x val="0"/>
                  <c:y val="0"/>
                </c:manualLayout>
              </c:layout>
              <c:tx>
                <c:rich>
                  <a:bodyPr vert="horz" rot="0" anchor="ctr"/>
                  <a:lstStyle/>
                  <a:p>
                    <a:pPr algn="ctr">
                      <a:defRPr/>
                    </a:pPr>
                    <a:r>
                      <a:rPr lang="en-US" cap="none" sz="850" b="1" i="0" u="none" baseline="0"/>
                      <a:t>Sürekli İşgör.Gel. Alanlar    </a:t>
                    </a:r>
                  </a:p>
                </c:rich>
              </c:tx>
              <c:numFmt formatCode="General" sourceLinked="1"/>
              <c:showLegendKey val="0"/>
              <c:showVal val="1"/>
              <c:showBubbleSize val="0"/>
              <c:showCatName val="0"/>
              <c:showSerName val="1"/>
              <c:showPercent val="1"/>
            </c:dLbl>
            <c:dLbl>
              <c:idx val="4"/>
              <c:layout>
                <c:manualLayout>
                  <c:x val="0"/>
                  <c:y val="0"/>
                </c:manualLayout>
              </c:layout>
              <c:tx>
                <c:rich>
                  <a:bodyPr vert="horz" rot="0" anchor="ctr"/>
                  <a:lstStyle/>
                  <a:p>
                    <a:pPr algn="ctr">
                      <a:defRPr/>
                    </a:pPr>
                    <a:r>
                      <a:rPr lang="en-US" cap="none" sz="850" b="1" i="0" u="none" baseline="0"/>
                      <a:t>İşkazası ve Mes. Hast. Sonucu Ölüm Hak Sahipleri ( Kişi )            </a:t>
                    </a:r>
                  </a:p>
                </c:rich>
              </c:tx>
              <c:numFmt formatCode="General" sourceLinked="1"/>
              <c:showLegendKey val="0"/>
              <c:showVal val="1"/>
              <c:showBubbleSize val="0"/>
              <c:showCatName val="0"/>
              <c:showSerName val="1"/>
              <c:showPercent val="1"/>
            </c:dLbl>
            <c:numFmt formatCode="0%" sourceLinked="0"/>
            <c:txPr>
              <a:bodyPr vert="horz" rot="0" anchor="ctr"/>
              <a:lstStyle/>
              <a:p>
                <a:pPr algn="ctr">
                  <a:defRPr lang="en-US" cap="none" sz="850" b="1" i="0" u="none" baseline="0"/>
                </a:pPr>
              </a:p>
            </c:txPr>
            <c:showLegendKey val="0"/>
            <c:showVal val="1"/>
            <c:showBubbleSize val="0"/>
            <c:showCatName val="0"/>
            <c:showSerName val="1"/>
            <c:showLeaderLines val="1"/>
            <c:showPercent val="1"/>
          </c:dLbls>
          <c:val>
            <c:numRef>
              <c:f>'17'!$K$32:$K$36</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blipFill>
      <a:blip r:embed="rId1"/>
      <a:srcRect/>
      <a:tile sx="100000" sy="100000" flip="none" algn="tl"/>
    </a:blipFill>
    <a:ln w="25400">
      <a:solidFill/>
    </a:ln>
    <a:effectLst>
      <a:outerShdw dist="35921" dir="2700000" algn="br">
        <a:prstClr val="black"/>
      </a:outerShdw>
    </a:effectLst>
  </c:spPr>
  <c:txPr>
    <a:bodyPr vert="horz" rot="0"/>
    <a:lstStyle/>
    <a:p>
      <a:pPr>
        <a:defRPr lang="en-US" cap="none" sz="1575" b="0" i="0" u="none" baseline="0">
          <a:latin typeface="Arial Tur"/>
          <a:ea typeface="Arial Tur"/>
          <a:cs typeface="Arial Tur"/>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15 - Yıllar İtibariyle Emekli Aylıklarının Artış Oranı ve TÜFE'ye göre Seviyeleri </a:t>
            </a:r>
            <a:r>
              <a:rPr lang="en-US" cap="none" sz="1200" b="0" i="1" u="none" baseline="0">
                <a:solidFill>
                  <a:srgbClr val="0000FF"/>
                </a:solidFill>
              </a:rPr>
              <a:t>( SYZ Dahil )</a:t>
            </a:r>
          </a:p>
        </c:rich>
      </c:tx>
      <c:layout/>
      <c:spPr>
        <a:noFill/>
        <a:ln>
          <a:noFill/>
        </a:ln>
      </c:spPr>
    </c:title>
    <c:plotArea>
      <c:layout>
        <c:manualLayout>
          <c:xMode val="edge"/>
          <c:yMode val="edge"/>
          <c:x val="0.018"/>
          <c:y val="0.21125"/>
          <c:w val="0.9645"/>
          <c:h val="0.68075"/>
        </c:manualLayout>
      </c:layout>
      <c:lineChart>
        <c:grouping val="standard"/>
        <c:varyColors val="0"/>
        <c:ser>
          <c:idx val="0"/>
          <c:order val="0"/>
          <c:tx>
            <c:strRef>
              <c:f>'18'!$H$2</c:f>
              <c:strCache>
                <c:ptCount val="1"/>
                <c:pt idx="0">
                  <c:v>Asgari Aylık Artış Oranı</c:v>
                </c:pt>
              </c:strCache>
            </c:strRef>
          </c:tx>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FF"/>
              </a:solidFill>
              <a:ln>
                <a:solidFill>
                  <a:srgbClr val="0000FF"/>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LeaderLines val="1"/>
            <c:showPercent val="0"/>
          </c:dLbls>
          <c:cat>
            <c:numRef>
              <c:f>'18'!$G$3:$G$8</c:f>
              <c:numCache>
                <c:ptCount val="6"/>
                <c:pt idx="0">
                  <c:v>0</c:v>
                </c:pt>
                <c:pt idx="1">
                  <c:v>0</c:v>
                </c:pt>
                <c:pt idx="2">
                  <c:v>0</c:v>
                </c:pt>
                <c:pt idx="3">
                  <c:v>0</c:v>
                </c:pt>
                <c:pt idx="4">
                  <c:v>0</c:v>
                </c:pt>
                <c:pt idx="5">
                  <c:v>0</c:v>
                </c:pt>
              </c:numCache>
            </c:numRef>
          </c:cat>
          <c:val>
            <c:numRef>
              <c:f>'18'!$H$3:$H$8</c:f>
              <c:numCache>
                <c:ptCount val="6"/>
                <c:pt idx="0">
                  <c:v>0</c:v>
                </c:pt>
                <c:pt idx="1">
                  <c:v>0</c:v>
                </c:pt>
                <c:pt idx="2">
                  <c:v>0</c:v>
                </c:pt>
                <c:pt idx="3">
                  <c:v>0</c:v>
                </c:pt>
                <c:pt idx="4">
                  <c:v>0</c:v>
                </c:pt>
                <c:pt idx="5">
                  <c:v>0</c:v>
                </c:pt>
              </c:numCache>
            </c:numRef>
          </c:val>
          <c:smooth val="1"/>
        </c:ser>
        <c:ser>
          <c:idx val="1"/>
          <c:order val="1"/>
          <c:tx>
            <c:strRef>
              <c:f>'18'!$I$2</c:f>
              <c:strCache>
                <c:ptCount val="1"/>
                <c:pt idx="0">
                  <c:v>TÜFE  </c:v>
                </c:pt>
              </c:strCache>
            </c:strRef>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pPr>
              </a:p>
            </c:txPr>
            <c:dLblPos val="r"/>
            <c:showLegendKey val="0"/>
            <c:showVal val="1"/>
            <c:showBubbleSize val="0"/>
            <c:showCatName val="0"/>
            <c:showSerName val="0"/>
            <c:showLeaderLines val="1"/>
            <c:showPercent val="0"/>
          </c:dLbls>
          <c:cat>
            <c:numRef>
              <c:f>'18'!$G$3:$G$8</c:f>
              <c:numCache>
                <c:ptCount val="6"/>
                <c:pt idx="0">
                  <c:v>0</c:v>
                </c:pt>
                <c:pt idx="1">
                  <c:v>0</c:v>
                </c:pt>
                <c:pt idx="2">
                  <c:v>0</c:v>
                </c:pt>
                <c:pt idx="3">
                  <c:v>0</c:v>
                </c:pt>
                <c:pt idx="4">
                  <c:v>0</c:v>
                </c:pt>
                <c:pt idx="5">
                  <c:v>0</c:v>
                </c:pt>
              </c:numCache>
            </c:numRef>
          </c:cat>
          <c:val>
            <c:numRef>
              <c:f>'18'!$I$3:$I$8</c:f>
              <c:numCache>
                <c:ptCount val="6"/>
                <c:pt idx="0">
                  <c:v>0</c:v>
                </c:pt>
                <c:pt idx="1">
                  <c:v>0</c:v>
                </c:pt>
                <c:pt idx="2">
                  <c:v>0</c:v>
                </c:pt>
                <c:pt idx="3">
                  <c:v>0</c:v>
                </c:pt>
                <c:pt idx="4">
                  <c:v>0</c:v>
                </c:pt>
                <c:pt idx="5">
                  <c:v>0</c:v>
                </c:pt>
              </c:numCache>
            </c:numRef>
          </c:val>
          <c:smooth val="1"/>
        </c:ser>
        <c:marker val="1"/>
        <c:axId val="34315523"/>
        <c:axId val="40404252"/>
      </c:lineChart>
      <c:catAx>
        <c:axId val="34315523"/>
        <c:scaling>
          <c:orientation val="minMax"/>
        </c:scaling>
        <c:axPos val="b"/>
        <c:delete val="0"/>
        <c:numFmt formatCode="General" sourceLinked="1"/>
        <c:majorTickMark val="out"/>
        <c:minorTickMark val="none"/>
        <c:tickLblPos val="nextTo"/>
        <c:txPr>
          <a:bodyPr/>
          <a:lstStyle/>
          <a:p>
            <a:pPr>
              <a:defRPr lang="en-US" cap="none" sz="900" b="1" i="0" u="none" baseline="0"/>
            </a:pPr>
          </a:p>
        </c:txPr>
        <c:crossAx val="40404252"/>
        <c:crosses val="autoZero"/>
        <c:auto val="1"/>
        <c:lblOffset val="100"/>
        <c:noMultiLvlLbl val="0"/>
      </c:catAx>
      <c:valAx>
        <c:axId val="40404252"/>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34315523"/>
        <c:crossesAt val="1"/>
        <c:crossBetween val="between"/>
        <c:dispUnits/>
      </c:valAx>
      <c:spPr>
        <a:blipFill>
          <a:blip r:embed="rId1"/>
          <a:srcRect/>
          <a:tile sx="100000" sy="100000" flip="none" algn="tl"/>
        </a:blipFill>
        <a:ln w="3175">
          <a:noFill/>
        </a:ln>
      </c:spPr>
    </c:plotArea>
    <c:legend>
      <c:legendPos val="b"/>
      <c:layout>
        <c:manualLayout>
          <c:xMode val="edge"/>
          <c:yMode val="edge"/>
          <c:x val="0"/>
          <c:y val="0.928"/>
          <c:w val="0.89975"/>
          <c:h val="0.062"/>
        </c:manualLayout>
      </c:layout>
      <c:overlay val="0"/>
      <c:spPr>
        <a:blipFill>
          <a:blip r:embed="rId2"/>
          <a:srcRect/>
          <a:tile sx="100000" sy="100000" flip="none" algn="tl"/>
        </a:blipFill>
        <a:ln w="3175">
          <a:noFill/>
        </a:ln>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254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1 - KADRO VE ÇALIŞAN PERSONEL DAĞILIMI ( 30.06.2006 )</a:t>
            </a:r>
          </a:p>
        </c:rich>
      </c:tx>
      <c:layout>
        <c:manualLayout>
          <c:xMode val="factor"/>
          <c:yMode val="factor"/>
          <c:x val="-0.00175"/>
          <c:y val="0.0315"/>
        </c:manualLayout>
      </c:layout>
      <c:spPr>
        <a:noFill/>
        <a:ln>
          <a:noFill/>
        </a:ln>
      </c:spPr>
    </c:title>
    <c:plotArea>
      <c:layout>
        <c:manualLayout>
          <c:xMode val="edge"/>
          <c:yMode val="edge"/>
          <c:x val="0.04025"/>
          <c:y val="0.21"/>
          <c:w val="0.81325"/>
          <c:h val="0.73975"/>
        </c:manualLayout>
      </c:layout>
      <c:barChart>
        <c:barDir val="col"/>
        <c:grouping val="clustered"/>
        <c:varyColors val="0"/>
        <c:ser>
          <c:idx val="0"/>
          <c:order val="0"/>
          <c:tx>
            <c:strRef>
              <c:f>3!$B$4</c:f>
              <c:strCache>
                <c:ptCount val="1"/>
                <c:pt idx="0">
                  <c:v>KADRO</c:v>
                </c:pt>
              </c:strCache>
            </c:strRef>
          </c:tx>
          <c:spPr>
            <a:pattFill prst="wdUpDiag">
              <a:fgClr>
                <a:srgbClr val="FF6600"/>
              </a:fgClr>
              <a:bgClr>
                <a:srgbClr val="000000"/>
              </a:bgClr>
            </a:pattFill>
            <a:ln w="127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3!$B$5:$B$8</c:f>
              <c:numCache>
                <c:ptCount val="4"/>
                <c:pt idx="0">
                  <c:v>0</c:v>
                </c:pt>
                <c:pt idx="1">
                  <c:v>0</c:v>
                </c:pt>
                <c:pt idx="2">
                  <c:v>0</c:v>
                </c:pt>
                <c:pt idx="3">
                  <c:v>0</c:v>
                </c:pt>
              </c:numCache>
            </c:numRef>
          </c:val>
        </c:ser>
        <c:ser>
          <c:idx val="2"/>
          <c:order val="1"/>
          <c:tx>
            <c:strRef>
              <c:f>3!$D$4</c:f>
              <c:strCache>
                <c:ptCount val="1"/>
                <c:pt idx="0">
                  <c:v>ÇALIŞAN</c:v>
                </c:pt>
              </c:strCache>
            </c:strRef>
          </c:tx>
          <c:spPr>
            <a:gradFill rotWithShape="1">
              <a:gsLst>
                <a:gs pos="0">
                  <a:srgbClr val="755E00"/>
                </a:gs>
                <a:gs pos="50000">
                  <a:srgbClr val="FFCC00"/>
                </a:gs>
                <a:gs pos="100000">
                  <a:srgbClr val="755E00"/>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3!$A$5:$A$8</c:f>
              <c:strCache/>
            </c:strRef>
          </c:cat>
          <c:val>
            <c:numRef>
              <c:f>3!$D$5:$D$8</c:f>
              <c:numCache>
                <c:ptCount val="4"/>
                <c:pt idx="0">
                  <c:v>0</c:v>
                </c:pt>
                <c:pt idx="1">
                  <c:v>0</c:v>
                </c:pt>
                <c:pt idx="2">
                  <c:v>0</c:v>
                </c:pt>
                <c:pt idx="3">
                  <c:v>0</c:v>
                </c:pt>
              </c:numCache>
            </c:numRef>
          </c:val>
        </c:ser>
        <c:axId val="54078813"/>
        <c:axId val="16947270"/>
      </c:barChart>
      <c:catAx>
        <c:axId val="54078813"/>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2"/>
              <c:y val="-0.12025"/>
            </c:manualLayout>
          </c:layout>
          <c:overlay val="0"/>
          <c:spPr>
            <a:noFill/>
            <a:ln>
              <a:noFill/>
            </a:ln>
          </c:spPr>
        </c:title>
        <c:delete val="0"/>
        <c:numFmt formatCode="General" sourceLinked="1"/>
        <c:majorTickMark val="out"/>
        <c:minorTickMark val="none"/>
        <c:tickLblPos val="nextTo"/>
        <c:txPr>
          <a:bodyPr/>
          <a:lstStyle/>
          <a:p>
            <a:pPr>
              <a:defRPr lang="en-US" cap="none" sz="800" b="1" i="0" u="none" baseline="0"/>
            </a:pPr>
          </a:p>
        </c:txPr>
        <c:crossAx val="16947270"/>
        <c:crosses val="autoZero"/>
        <c:auto val="1"/>
        <c:lblOffset val="100"/>
        <c:noMultiLvlLbl val="0"/>
      </c:catAx>
      <c:valAx>
        <c:axId val="16947270"/>
        <c:scaling>
          <c:orientation val="minMax"/>
          <c:max val="27500"/>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54078813"/>
        <c:crossesAt val="1"/>
        <c:crossBetween val="between"/>
        <c:dispUnits/>
        <c:majorUnit val="2500"/>
      </c:valAx>
      <c:spPr>
        <a:blipFill>
          <a:blip r:embed="rId1"/>
          <a:srcRect/>
          <a:tile sx="100000" sy="100000" flip="none" algn="tl"/>
        </a:blipFill>
        <a:ln w="3175">
          <a:noFill/>
        </a:ln>
      </c:spPr>
    </c:plotArea>
    <c:legend>
      <c:legendPos val="r"/>
      <c:layout>
        <c:manualLayout>
          <c:xMode val="edge"/>
          <c:yMode val="edge"/>
          <c:x val="0.87425"/>
          <c:y val="0.13075"/>
          <c:w val="0.12025"/>
          <c:h val="0.17575"/>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675"/>
          <c:y val="0.194"/>
          <c:w val="0.967"/>
          <c:h val="0.58475"/>
        </c:manualLayout>
      </c:layout>
      <c:barChart>
        <c:barDir val="col"/>
        <c:grouping val="clustered"/>
        <c:varyColors val="0"/>
        <c:ser>
          <c:idx val="1"/>
          <c:order val="0"/>
          <c:tx>
            <c:v>Sağlık Ödemeleri</c:v>
          </c:tx>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1"/>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2"/>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3"/>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4"/>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dPt>
            <c:idx val="5"/>
            <c:invertIfNegative val="0"/>
            <c:spPr>
              <a:gradFill rotWithShape="1">
                <a:gsLst>
                  <a:gs pos="0">
                    <a:srgbClr val="000082"/>
                  </a:gs>
                  <a:gs pos="15000">
                    <a:srgbClr val="66008F"/>
                  </a:gs>
                  <a:gs pos="32499">
                    <a:srgbClr val="BA0066"/>
                  </a:gs>
                  <a:gs pos="45000">
                    <a:srgbClr val="FF0000"/>
                  </a:gs>
                  <a:gs pos="50000">
                    <a:srgbClr val="FF8200"/>
                  </a:gs>
                  <a:gs pos="55000">
                    <a:srgbClr val="FF0000"/>
                  </a:gs>
                  <a:gs pos="67501">
                    <a:srgbClr val="BA0066"/>
                  </a:gs>
                  <a:gs pos="85000">
                    <a:srgbClr val="66008F"/>
                  </a:gs>
                  <a:gs pos="100000">
                    <a:srgbClr val="000082"/>
                  </a:gs>
                </a:gsLst>
                <a:lin ang="5400000" scaled="1"/>
              </a:gradFill>
            </c:spPr>
          </c:dPt>
          <c:cat>
            <c:strRef>
              <c:f>'20'!$A$11:$A$16</c:f>
              <c:strCache/>
            </c:strRef>
          </c:cat>
          <c:val>
            <c:numRef>
              <c:f>'20'!$B$11:$B$16</c:f>
              <c:numCache>
                <c:ptCount val="6"/>
                <c:pt idx="0">
                  <c:v>0</c:v>
                </c:pt>
                <c:pt idx="1">
                  <c:v>0</c:v>
                </c:pt>
                <c:pt idx="2">
                  <c:v>0</c:v>
                </c:pt>
                <c:pt idx="3">
                  <c:v>0</c:v>
                </c:pt>
                <c:pt idx="4">
                  <c:v>0</c:v>
                </c:pt>
                <c:pt idx="5">
                  <c:v>0</c:v>
                </c:pt>
              </c:numCache>
            </c:numRef>
          </c:val>
        </c:ser>
        <c:ser>
          <c:idx val="0"/>
          <c:order val="1"/>
          <c:tx>
            <c:v>İlaç Ödemeleri</c:v>
          </c:tx>
          <c:spPr>
            <a:gradFill rotWithShape="1">
              <a:gsLst>
                <a:gs pos="0">
                  <a:srgbClr val="757500"/>
                </a:gs>
                <a:gs pos="100000">
                  <a:srgbClr val="FFFF00"/>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'20'!$A$11:$A$16</c:f>
              <c:strCache/>
            </c:strRef>
          </c:cat>
          <c:val>
            <c:numRef>
              <c:f>'20'!$C$11:$C$16</c:f>
              <c:numCache>
                <c:ptCount val="6"/>
                <c:pt idx="0">
                  <c:v>0</c:v>
                </c:pt>
                <c:pt idx="1">
                  <c:v>0</c:v>
                </c:pt>
                <c:pt idx="2">
                  <c:v>0</c:v>
                </c:pt>
                <c:pt idx="3">
                  <c:v>0</c:v>
                </c:pt>
                <c:pt idx="4">
                  <c:v>0</c:v>
                </c:pt>
                <c:pt idx="5">
                  <c:v>0</c:v>
                </c:pt>
              </c:numCache>
            </c:numRef>
          </c:val>
        </c:ser>
        <c:axId val="28093949"/>
        <c:axId val="51518950"/>
      </c:barChart>
      <c:lineChart>
        <c:grouping val="standard"/>
        <c:varyColors val="0"/>
        <c:ser>
          <c:idx val="2"/>
          <c:order val="2"/>
          <c:tx>
            <c:v>İlaç Giderlerin Sağlık Giderleri İçindeki Oranı</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pPr>
              </a:p>
            </c:txPr>
            <c:showLegendKey val="0"/>
            <c:showVal val="1"/>
            <c:showBubbleSize val="0"/>
            <c:showCatName val="0"/>
            <c:showSerName val="0"/>
            <c:showLeaderLines val="1"/>
            <c:showPercent val="0"/>
          </c:dLbls>
          <c:cat>
            <c:strRef>
              <c:f>'20'!$A$11:$A$16</c:f>
              <c:strCache/>
            </c:strRef>
          </c:cat>
          <c:val>
            <c:numRef>
              <c:f>'20'!$E$11:$E$16</c:f>
              <c:numCache>
                <c:ptCount val="6"/>
                <c:pt idx="0">
                  <c:v>0</c:v>
                </c:pt>
                <c:pt idx="1">
                  <c:v>0</c:v>
                </c:pt>
                <c:pt idx="2">
                  <c:v>0</c:v>
                </c:pt>
                <c:pt idx="3">
                  <c:v>0</c:v>
                </c:pt>
                <c:pt idx="4">
                  <c:v>0</c:v>
                </c:pt>
                <c:pt idx="5">
                  <c:v>0</c:v>
                </c:pt>
              </c:numCache>
            </c:numRef>
          </c:val>
          <c:smooth val="0"/>
        </c:ser>
        <c:axId val="61017367"/>
        <c:axId val="12285392"/>
      </c:lineChart>
      <c:catAx>
        <c:axId val="28093949"/>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pPr>
          </a:p>
        </c:txPr>
        <c:crossAx val="51518950"/>
        <c:crosses val="autoZero"/>
        <c:auto val="0"/>
        <c:lblOffset val="100"/>
        <c:noMultiLvlLbl val="0"/>
      </c:catAx>
      <c:valAx>
        <c:axId val="51518950"/>
        <c:scaling>
          <c:orientation val="minMax"/>
        </c:scaling>
        <c:axPos val="l"/>
        <c:delete val="0"/>
        <c:numFmt formatCode="General" sourceLinked="1"/>
        <c:majorTickMark val="in"/>
        <c:minorTickMark val="none"/>
        <c:tickLblPos val="nextTo"/>
        <c:spPr>
          <a:ln w="25400">
            <a:solidFill/>
          </a:ln>
        </c:spPr>
        <c:txPr>
          <a:bodyPr/>
          <a:lstStyle/>
          <a:p>
            <a:pPr>
              <a:defRPr lang="en-US" cap="none" sz="800" b="1" i="0" u="none" baseline="0"/>
            </a:pPr>
          </a:p>
        </c:txPr>
        <c:crossAx val="28093949"/>
        <c:crossesAt val="1"/>
        <c:crossBetween val="between"/>
        <c:dispUnits/>
      </c:valAx>
      <c:catAx>
        <c:axId val="61017367"/>
        <c:scaling>
          <c:orientation val="minMax"/>
        </c:scaling>
        <c:axPos val="b"/>
        <c:delete val="1"/>
        <c:majorTickMark val="in"/>
        <c:minorTickMark val="none"/>
        <c:tickLblPos val="nextTo"/>
        <c:crossAx val="12285392"/>
        <c:crosses val="autoZero"/>
        <c:auto val="0"/>
        <c:lblOffset val="100"/>
        <c:noMultiLvlLbl val="0"/>
      </c:catAx>
      <c:valAx>
        <c:axId val="12285392"/>
        <c:scaling>
          <c:orientation val="minMax"/>
        </c:scaling>
        <c:axPos val="l"/>
        <c:delete val="0"/>
        <c:numFmt formatCode="General" sourceLinked="1"/>
        <c:majorTickMark val="in"/>
        <c:minorTickMark val="none"/>
        <c:tickLblPos val="nextTo"/>
        <c:txPr>
          <a:bodyPr/>
          <a:lstStyle/>
          <a:p>
            <a:pPr>
              <a:defRPr lang="en-US" cap="none" sz="800" b="1" i="0" u="none" baseline="0"/>
            </a:pPr>
          </a:p>
        </c:txPr>
        <c:crossAx val="61017367"/>
        <c:crosses val="max"/>
        <c:crossBetween val="between"/>
        <c:dispUnits/>
      </c:valAx>
      <c:spPr>
        <a:blipFill>
          <a:blip r:embed="rId2"/>
          <a:srcRect/>
          <a:tile sx="100000" sy="100000" flip="none" algn="tl"/>
        </a:blipFill>
        <a:ln w="3175">
          <a:noFill/>
        </a:ln>
      </c:spPr>
    </c:plotArea>
    <c:legend>
      <c:legendPos val="b"/>
      <c:layout>
        <c:manualLayout>
          <c:xMode val="edge"/>
          <c:yMode val="edge"/>
          <c:x val="0"/>
          <c:y val="0.81075"/>
          <c:w val="0.8895"/>
          <c:h val="0.177"/>
        </c:manualLayout>
      </c:layout>
      <c:overlay val="0"/>
      <c:spPr>
        <a:blipFill>
          <a:blip r:embed="rId3"/>
          <a:srcRect/>
          <a:tile sx="100000" sy="100000" flip="none" algn="tl"/>
        </a:blipFill>
        <a:ln w="3175">
          <a:noFill/>
        </a:ln>
      </c:spPr>
      <c:txPr>
        <a:bodyPr vert="horz" rot="0"/>
        <a:lstStyle/>
        <a:p>
          <a:pPr>
            <a:defRPr lang="en-US" cap="none" sz="1100" b="0" i="0" u="none" baseline="0">
              <a:latin typeface="Arial Tur"/>
              <a:ea typeface="Arial Tur"/>
              <a:cs typeface="Arial Tur"/>
            </a:defRPr>
          </a:pPr>
        </a:p>
      </c:txPr>
    </c:legend>
    <c:plotVisOnly val="1"/>
    <c:dispBlanksAs val="gap"/>
    <c:showDLblsOverMax val="0"/>
  </c:chart>
  <c:spPr>
    <a:blipFill>
      <a:blip r:embed="rId4"/>
      <a:srcRect/>
      <a:tile sx="100000" sy="100000" flip="none" algn="tl"/>
    </a:blipFill>
    <a:ln w="25400">
      <a:solidFill/>
    </a:ln>
    <a:effectLst>
      <a:outerShdw dist="35921" dir="2700000" algn="br">
        <a:prstClr val="black"/>
      </a:outerShdw>
    </a:effectLst>
  </c:spPr>
  <c:txPr>
    <a:bodyPr vert="horz" rot="0"/>
    <a:lstStyle/>
    <a:p>
      <a:pPr>
        <a:defRPr lang="en-US" cap="none" sz="1000" b="0" i="0" u="none" baseline="0">
          <a:latin typeface="Arial Tur"/>
          <a:ea typeface="Arial Tur"/>
          <a:cs typeface="Arial Tur"/>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FF"/>
                </a:solidFill>
              </a:rPr>
              <a:t>Grafik 17 - Yıllar İtibariyle  Sağlık Tesislerinde Gerçekleşen Poliklinik Sayıları</a:t>
            </a:r>
          </a:p>
        </c:rich>
      </c:tx>
      <c:layout/>
      <c:spPr>
        <a:noFill/>
        <a:ln>
          <a:noFill/>
        </a:ln>
      </c:spPr>
    </c:title>
    <c:plotArea>
      <c:layout/>
      <c:barChart>
        <c:barDir val="col"/>
        <c:grouping val="clustered"/>
        <c:varyColors val="0"/>
        <c:ser>
          <c:idx val="0"/>
          <c:order val="0"/>
          <c:tx>
            <c:strRef>
              <c:f>'21'!$A$5</c:f>
              <c:strCache>
                <c:ptCount val="1"/>
                <c:pt idx="0">
                  <c:v>POLİKLİNİK SAYISI</c:v>
                </c:pt>
              </c:strCache>
            </c:strRef>
          </c:tx>
          <c:spPr>
            <a:gradFill rotWithShape="1">
              <a:gsLst>
                <a:gs pos="0">
                  <a:srgbClr val="FF8200"/>
                </a:gs>
                <a:gs pos="10001">
                  <a:srgbClr val="FF0000"/>
                </a:gs>
                <a:gs pos="35001">
                  <a:srgbClr val="BA0066"/>
                </a:gs>
                <a:gs pos="70000">
                  <a:srgbClr val="66008F"/>
                </a:gs>
                <a:gs pos="100000">
                  <a:srgbClr val="000082"/>
                </a:gs>
              </a:gsLst>
              <a:lin ang="5400000" scaled="1"/>
            </a:gra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'21'!$B$4:$F$4</c:f>
              <c:numCache>
                <c:ptCount val="5"/>
                <c:pt idx="0">
                  <c:v>0</c:v>
                </c:pt>
                <c:pt idx="1">
                  <c:v>0</c:v>
                </c:pt>
                <c:pt idx="2">
                  <c:v>0</c:v>
                </c:pt>
                <c:pt idx="3">
                  <c:v>0</c:v>
                </c:pt>
                <c:pt idx="4">
                  <c:v>0</c:v>
                </c:pt>
              </c:numCache>
            </c:numRef>
          </c:cat>
          <c:val>
            <c:numRef>
              <c:f>'21'!$B$5:$F$5</c:f>
              <c:numCache>
                <c:ptCount val="5"/>
                <c:pt idx="0">
                  <c:v>0</c:v>
                </c:pt>
                <c:pt idx="1">
                  <c:v>0</c:v>
                </c:pt>
                <c:pt idx="2">
                  <c:v>0</c:v>
                </c:pt>
                <c:pt idx="3">
                  <c:v>0</c:v>
                </c:pt>
                <c:pt idx="4">
                  <c:v>0</c:v>
                </c:pt>
              </c:numCache>
            </c:numRef>
          </c:val>
        </c:ser>
        <c:axId val="43459665"/>
        <c:axId val="55592666"/>
      </c:barChart>
      <c:catAx>
        <c:axId val="43459665"/>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55592666"/>
        <c:crosses val="autoZero"/>
        <c:auto val="1"/>
        <c:lblOffset val="100"/>
        <c:noMultiLvlLbl val="0"/>
      </c:catAx>
      <c:valAx>
        <c:axId val="5559266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1" i="0" u="none" baseline="0"/>
            </a:pPr>
          </a:p>
        </c:txPr>
        <c:crossAx val="43459665"/>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25" b="0" i="0" u="none" baseline="0">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Grafik 2 - MERKEZ TEŞKİLATI KADRO VE ÇALIŞAN PERSONEL DAĞILIMI           
 </a:t>
            </a:r>
            <a:r>
              <a:rPr lang="en-US" cap="none" sz="800" b="1" i="0" u="none" baseline="0"/>
              <a:t>( 30.06.2006 )</a:t>
            </a:r>
          </a:p>
        </c:rich>
      </c:tx>
      <c:layout>
        <c:manualLayout>
          <c:xMode val="factor"/>
          <c:yMode val="factor"/>
          <c:x val="-0.0365"/>
          <c:y val="-0.00475"/>
        </c:manualLayout>
      </c:layout>
      <c:spPr>
        <a:noFill/>
        <a:ln>
          <a:noFill/>
        </a:ln>
      </c:spPr>
    </c:title>
    <c:plotArea>
      <c:layout>
        <c:manualLayout>
          <c:xMode val="edge"/>
          <c:yMode val="edge"/>
          <c:x val="0.018"/>
          <c:y val="0.254"/>
          <c:w val="0.8765"/>
          <c:h val="0.67675"/>
        </c:manualLayout>
      </c:layout>
      <c:barChart>
        <c:barDir val="col"/>
        <c:grouping val="clustered"/>
        <c:varyColors val="0"/>
        <c:ser>
          <c:idx val="0"/>
          <c:order val="0"/>
          <c:tx>
            <c:strRef>
              <c:f>3!$B$27</c:f>
              <c:strCache>
                <c:ptCount val="1"/>
                <c:pt idx="0">
                  <c:v>KADRO</c:v>
                </c:pt>
              </c:strCache>
            </c:strRef>
          </c:tx>
          <c:spPr>
            <a:solidFill>
              <a:srgbClr val="0000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3!$B$28:$B$33</c:f>
              <c:numCache>
                <c:ptCount val="6"/>
                <c:pt idx="0">
                  <c:v>0</c:v>
                </c:pt>
                <c:pt idx="1">
                  <c:v>0</c:v>
                </c:pt>
                <c:pt idx="2">
                  <c:v>0</c:v>
                </c:pt>
                <c:pt idx="3">
                  <c:v>0</c:v>
                </c:pt>
                <c:pt idx="4">
                  <c:v>0</c:v>
                </c:pt>
                <c:pt idx="5">
                  <c:v>0</c:v>
                </c:pt>
              </c:numCache>
            </c:numRef>
          </c:val>
        </c:ser>
        <c:ser>
          <c:idx val="2"/>
          <c:order val="1"/>
          <c:tx>
            <c:strRef>
              <c:f>3!$D$27</c:f>
              <c:strCache>
                <c:ptCount val="1"/>
                <c:pt idx="0">
                  <c:v>ÇALIŞAN</c:v>
                </c:pt>
              </c:strCache>
            </c:strRef>
          </c:tx>
          <c:spPr>
            <a:solidFill>
              <a:srgbClr val="FFFF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3!$A$28:$A$33</c:f>
              <c:strCache/>
            </c:strRef>
          </c:cat>
          <c:val>
            <c:numRef>
              <c:f>3!$D$28:$D$33</c:f>
              <c:numCache>
                <c:ptCount val="6"/>
                <c:pt idx="0">
                  <c:v>0</c:v>
                </c:pt>
                <c:pt idx="1">
                  <c:v>0</c:v>
                </c:pt>
                <c:pt idx="2">
                  <c:v>0</c:v>
                </c:pt>
                <c:pt idx="3">
                  <c:v>0</c:v>
                </c:pt>
                <c:pt idx="4">
                  <c:v>0</c:v>
                </c:pt>
                <c:pt idx="5">
                  <c:v>0</c:v>
                </c:pt>
              </c:numCache>
            </c:numRef>
          </c:val>
        </c:ser>
        <c:axId val="18307703"/>
        <c:axId val="30551600"/>
      </c:barChart>
      <c:catAx>
        <c:axId val="18307703"/>
        <c:scaling>
          <c:orientation val="minMax"/>
        </c:scaling>
        <c:axPos val="b"/>
        <c:title>
          <c:tx>
            <c:rich>
              <a:bodyPr vert="horz" rot="0" anchor="ctr"/>
              <a:lstStyle/>
              <a:p>
                <a:pPr algn="ctr">
                  <a:defRPr/>
                </a:pPr>
                <a:r>
                  <a:rPr lang="en-US" cap="none" sz="800" b="1" i="0" u="none" baseline="0"/>
                  <a:t>KİŞİ</a:t>
                </a:r>
              </a:p>
            </c:rich>
          </c:tx>
          <c:layout>
            <c:manualLayout>
              <c:xMode val="factor"/>
              <c:yMode val="factor"/>
              <c:x val="0.26675"/>
              <c:y val="-0.118"/>
            </c:manualLayout>
          </c:layout>
          <c:overlay val="0"/>
          <c:spPr>
            <a:noFill/>
            <a:ln>
              <a:noFill/>
            </a:ln>
          </c:spPr>
        </c:title>
        <c:delete val="0"/>
        <c:numFmt formatCode="General" sourceLinked="1"/>
        <c:majorTickMark val="out"/>
        <c:minorTickMark val="none"/>
        <c:tickLblPos val="nextTo"/>
        <c:txPr>
          <a:bodyPr/>
          <a:lstStyle/>
          <a:p>
            <a:pPr>
              <a:defRPr lang="en-US" cap="none" sz="625" b="1" i="0" u="none" baseline="0"/>
            </a:pPr>
          </a:p>
        </c:txPr>
        <c:crossAx val="30551600"/>
        <c:crosses val="autoZero"/>
        <c:auto val="1"/>
        <c:lblOffset val="100"/>
        <c:noMultiLvlLbl val="0"/>
      </c:catAx>
      <c:valAx>
        <c:axId val="3055160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18307703"/>
        <c:crossesAt val="1"/>
        <c:crossBetween val="between"/>
        <c:dispUnits/>
      </c:valAx>
      <c:spPr>
        <a:blipFill>
          <a:blip r:embed="rId1"/>
          <a:srcRect/>
          <a:tile sx="100000" sy="100000" flip="none" algn="tl"/>
        </a:blipFill>
        <a:ln w="3175">
          <a:noFill/>
        </a:ln>
      </c:spPr>
    </c:plotArea>
    <c:legend>
      <c:legendPos val="r"/>
      <c:layout>
        <c:manualLayout>
          <c:xMode val="edge"/>
          <c:yMode val="edge"/>
          <c:x val="0.87675"/>
          <c:y val="0.09"/>
        </c:manualLayout>
      </c:layout>
      <c:overlay val="0"/>
      <c:spPr>
        <a:blipFill>
          <a:blip r:embed="rId2"/>
          <a:srcRect/>
          <a:tile sx="100000" sy="100000" flip="none" algn="tl"/>
        </a:blipFill>
      </c:spPr>
      <c:txPr>
        <a:bodyPr vert="horz" rot="0"/>
        <a:lstStyle/>
        <a:p>
          <a:pPr>
            <a:defRPr lang="en-US" cap="none" sz="800" b="1" i="0" u="none" baseline="0"/>
          </a:pPr>
        </a:p>
      </c:txPr>
    </c:legend>
    <c:plotVisOnly val="1"/>
    <c:dispBlanksAs val="gap"/>
    <c:showDLblsOverMax val="0"/>
  </c:chart>
  <c:spPr>
    <a:blipFill>
      <a:blip r:embed="rId3"/>
      <a:srcRect/>
      <a:tile sx="100000" sy="100000" flip="none" algn="tl"/>
    </a:blipFill>
    <a:ln w="38100">
      <a:solidFill/>
    </a:ln>
    <a:effectLst>
      <a:outerShdw dist="35921" dir="2700000" algn="br">
        <a:prstClr val="black"/>
      </a:outerShdw>
    </a:effectLst>
  </c:spPr>
  <c:txPr>
    <a:bodyPr vert="horz" rot="0"/>
    <a:lstStyle/>
    <a:p>
      <a:pPr>
        <a:defRPr lang="en-US" cap="none" sz="975" b="0" i="0" u="none" baseline="0">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Grafik 2 - MERKEZ TEŞKİLATI KADRO VE ÇALIŞAN PERSONEL DAĞILIMI </a:t>
            </a:r>
            <a:r>
              <a:rPr lang="en-US" cap="none" sz="225" b="1" i="0" u="none" baseline="0"/>
              <a:t>( 28.02.2006 )</a:t>
            </a:r>
          </a:p>
        </c:rich>
      </c:tx>
      <c:layout/>
      <c:spPr>
        <a:noFill/>
        <a:ln>
          <a:noFill/>
        </a:ln>
      </c:spPr>
    </c:title>
    <c:plotArea>
      <c:layout/>
      <c:barChart>
        <c:barDir val="col"/>
        <c:grouping val="clustered"/>
        <c:varyColors val="0"/>
        <c:ser>
          <c:idx val="0"/>
          <c:order val="0"/>
          <c:tx>
            <c:strRef>
              <c:f>3!$B$27</c:f>
              <c:strCache>
                <c:ptCount val="1"/>
                <c:pt idx="0">
                  <c:v>KADRO</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3!$B$28:$B$33</c:f>
              <c:numCache>
                <c:ptCount val="6"/>
                <c:pt idx="0">
                  <c:v>1515</c:v>
                </c:pt>
                <c:pt idx="1">
                  <c:v>1997</c:v>
                </c:pt>
                <c:pt idx="2">
                  <c:v>1518</c:v>
                </c:pt>
                <c:pt idx="3">
                  <c:v>119</c:v>
                </c:pt>
                <c:pt idx="4">
                  <c:v>51</c:v>
                </c:pt>
                <c:pt idx="5">
                  <c:v>5200</c:v>
                </c:pt>
              </c:numCache>
            </c:numRef>
          </c:val>
        </c:ser>
        <c:ser>
          <c:idx val="2"/>
          <c:order val="1"/>
          <c:tx>
            <c:strRef>
              <c:f>3!$D$27</c:f>
              <c:strCache>
                <c:ptCount val="1"/>
                <c:pt idx="0">
                  <c:v>ÇALIŞAN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3!$D$28:$D$33</c:f>
              <c:numCache>
                <c:ptCount val="6"/>
                <c:pt idx="0">
                  <c:v>885</c:v>
                </c:pt>
                <c:pt idx="1">
                  <c:v>1506</c:v>
                </c:pt>
                <c:pt idx="2">
                  <c:v>681</c:v>
                </c:pt>
                <c:pt idx="3">
                  <c:v>39</c:v>
                </c:pt>
                <c:pt idx="4">
                  <c:v>0</c:v>
                </c:pt>
                <c:pt idx="5">
                  <c:v>3111</c:v>
                </c:pt>
              </c:numCache>
            </c:numRef>
          </c:val>
        </c:ser>
        <c:axId val="6528945"/>
        <c:axId val="58760506"/>
      </c:barChart>
      <c:catAx>
        <c:axId val="6528945"/>
        <c:scaling>
          <c:orientation val="minMax"/>
        </c:scaling>
        <c:axPos val="b"/>
        <c:title>
          <c:tx>
            <c:rich>
              <a:bodyPr vert="horz" rot="0" anchor="ctr"/>
              <a:lstStyle/>
              <a:p>
                <a:pPr algn="ctr">
                  <a:defRPr/>
                </a:pPr>
                <a:r>
                  <a:rPr lang="en-US" cap="none" sz="250" b="1" i="0" u="none" baseline="0"/>
                  <a:t>KİŞİ</a:t>
                </a:r>
              </a:p>
            </c:rich>
          </c:tx>
          <c:layout/>
          <c:overlay val="0"/>
          <c:spPr>
            <a:noFill/>
            <a:ln>
              <a:noFill/>
            </a:ln>
          </c:spPr>
        </c:title>
        <c:delete val="0"/>
        <c:numFmt formatCode="General" sourceLinked="1"/>
        <c:majorTickMark val="out"/>
        <c:minorTickMark val="none"/>
        <c:tickLblPos val="nextTo"/>
        <c:txPr>
          <a:bodyPr/>
          <a:lstStyle/>
          <a:p>
            <a:pPr>
              <a:defRPr lang="en-US" cap="none" sz="275" b="1" i="0" u="none" baseline="0"/>
            </a:pPr>
          </a:p>
        </c:txPr>
        <c:crossAx val="58760506"/>
        <c:crosses val="autoZero"/>
        <c:auto val="1"/>
        <c:lblOffset val="100"/>
        <c:noMultiLvlLbl val="0"/>
      </c:catAx>
      <c:valAx>
        <c:axId val="5876050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0" b="1" i="0" u="none" baseline="0"/>
            </a:pPr>
          </a:p>
        </c:txPr>
        <c:crossAx val="6528945"/>
        <c:crossesAt val="1"/>
        <c:crossBetween val="between"/>
        <c:dispUnits/>
      </c:valAx>
      <c:spPr>
        <a:solidFill>
          <a:srgbClr val="FFFFFF"/>
        </a:solidFill>
        <a:ln w="3175">
          <a:noFill/>
        </a:ln>
      </c:spPr>
    </c:plotArea>
    <c:legend>
      <c:legendPos val="r"/>
      <c:layout/>
      <c:overlay val="0"/>
      <c:txPr>
        <a:bodyPr vert="horz" rot="0"/>
        <a:lstStyle/>
        <a:p>
          <a:pPr>
            <a:defRPr lang="en-US" cap="none" sz="250" b="1" i="0" u="none" baseline="0"/>
          </a:pPr>
        </a:p>
      </c:txPr>
    </c:legend>
    <c:plotVisOnly val="1"/>
    <c:dispBlanksAs val="gap"/>
    <c:showDLblsOverMax val="0"/>
  </c:chart>
  <c:txPr>
    <a:bodyPr vert="horz" rot="0"/>
    <a:lstStyle/>
    <a:p>
      <a:pPr>
        <a:defRPr lang="en-US" cap="none" sz="350" b="0" i="0" u="none" baseline="0">
          <a:latin typeface="Arial Tur"/>
          <a:ea typeface="Arial Tur"/>
          <a:cs typeface="Arial Tu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3 - TAŞRA TEŞKİLATI  PERSONEL DURUMU ( Sigorta Tesisleri )</a:t>
            </a:r>
          </a:p>
        </c:rich>
      </c:tx>
      <c:layout>
        <c:manualLayout>
          <c:xMode val="factor"/>
          <c:yMode val="factor"/>
          <c:x val="0.00175"/>
          <c:y val="0.07225"/>
        </c:manualLayout>
      </c:layout>
      <c:spPr>
        <a:noFill/>
        <a:ln>
          <a:noFill/>
        </a:ln>
      </c:spPr>
    </c:title>
    <c:view3D>
      <c:rotX val="15"/>
      <c:rotY val="20"/>
      <c:depthPercent val="100"/>
      <c:rAngAx val="1"/>
    </c:view3D>
    <c:plotArea>
      <c:layout>
        <c:manualLayout>
          <c:xMode val="edge"/>
          <c:yMode val="edge"/>
          <c:x val="0.023"/>
          <c:y val="0.259"/>
          <c:w val="0.81025"/>
          <c:h val="0.69525"/>
        </c:manualLayout>
      </c:layout>
      <c:bar3DChart>
        <c:barDir val="col"/>
        <c:grouping val="clustered"/>
        <c:varyColors val="0"/>
        <c:ser>
          <c:idx val="0"/>
          <c:order val="0"/>
          <c:tx>
            <c:strRef>
              <c:f>4!$B$5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4!$B$6:$B$9</c:f>
              <c:numCache>
                <c:ptCount val="4"/>
                <c:pt idx="0">
                  <c:v>0</c:v>
                </c:pt>
                <c:pt idx="1">
                  <c:v>0</c:v>
                </c:pt>
                <c:pt idx="2">
                  <c:v>0</c:v>
                </c:pt>
                <c:pt idx="3">
                  <c:v>0</c:v>
                </c:pt>
              </c:numCache>
            </c:numRef>
          </c:val>
          <c:shape val="cylinder"/>
        </c:ser>
        <c:ser>
          <c:idx val="1"/>
          <c:order val="1"/>
          <c:tx>
            <c:strRef>
              <c:f>4!$C$5</c:f>
              <c:strCache>
                <c:ptCount val="1"/>
                <c:pt idx="0">
                  <c:v>ÇALIŞAN</c:v>
                </c:pt>
              </c:strCache>
            </c:strRef>
          </c:tx>
          <c:spPr>
            <a:pattFill prst="wdUpDiag">
              <a:fgClr>
                <a:srgbClr val="99CC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dUpDiag">
                <a:fgClr>
                  <a:srgbClr val="99CC00"/>
                </a:fgClr>
                <a:bgClr>
                  <a:srgbClr val="000000"/>
                </a:bgClr>
              </a:pattFill>
            </c:spPr>
          </c:dP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4!$C$6:$C$9</c:f>
              <c:numCache>
                <c:ptCount val="4"/>
                <c:pt idx="0">
                  <c:v>0</c:v>
                </c:pt>
                <c:pt idx="1">
                  <c:v>0</c:v>
                </c:pt>
                <c:pt idx="2">
                  <c:v>0</c:v>
                </c:pt>
                <c:pt idx="3">
                  <c:v>0</c:v>
                </c:pt>
              </c:numCache>
            </c:numRef>
          </c:val>
          <c:shape val="cylinder"/>
        </c:ser>
        <c:shape val="cylinder"/>
        <c:axId val="59082507"/>
        <c:axId val="61980516"/>
      </c:bar3DChart>
      <c:catAx>
        <c:axId val="59082507"/>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61980516"/>
        <c:crosses val="autoZero"/>
        <c:auto val="1"/>
        <c:lblOffset val="100"/>
        <c:noMultiLvlLbl val="0"/>
      </c:catAx>
      <c:valAx>
        <c:axId val="61980516"/>
        <c:scaling>
          <c:orientation val="minMax"/>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59082507"/>
        <c:crossesAt val="1"/>
        <c:crossBetween val="between"/>
        <c:dispUnits/>
      </c:valAx>
      <c:spPr>
        <a:noFill/>
        <a:ln>
          <a:noFill/>
        </a:ln>
      </c:spPr>
    </c:plotArea>
    <c:legend>
      <c:legendPos val="r"/>
      <c:layout>
        <c:manualLayout>
          <c:xMode val="edge"/>
          <c:yMode val="edge"/>
          <c:x val="0.87575"/>
          <c:y val="0.1737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808080"/>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75" b="0" i="0" u="none" baseline="0">
          <a:latin typeface="Arial Tur"/>
          <a:ea typeface="Arial Tur"/>
          <a:cs typeface="Arial Tu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FF"/>
                </a:solidFill>
              </a:rPr>
              <a:t>Grafik 4 - TAŞRA TEŞKİLATI PERSONEL DURUMU ( Sağlık Tesisleri )</a:t>
            </a:r>
          </a:p>
        </c:rich>
      </c:tx>
      <c:layout>
        <c:manualLayout>
          <c:xMode val="factor"/>
          <c:yMode val="factor"/>
          <c:x val="-0.00175"/>
          <c:y val="0.06875"/>
        </c:manualLayout>
      </c:layout>
      <c:spPr>
        <a:noFill/>
        <a:ln>
          <a:noFill/>
        </a:ln>
      </c:spPr>
    </c:title>
    <c:view3D>
      <c:rotX val="15"/>
      <c:rotY val="20"/>
      <c:depthPercent val="100"/>
      <c:rAngAx val="1"/>
    </c:view3D>
    <c:plotArea>
      <c:layout>
        <c:manualLayout>
          <c:xMode val="edge"/>
          <c:yMode val="edge"/>
          <c:x val="0.02325"/>
          <c:y val="0.26"/>
          <c:w val="0.8085"/>
          <c:h val="0.694"/>
        </c:manualLayout>
      </c:layout>
      <c:bar3DChart>
        <c:barDir val="col"/>
        <c:grouping val="clustered"/>
        <c:varyColors val="0"/>
        <c:ser>
          <c:idx val="0"/>
          <c:order val="0"/>
          <c:tx>
            <c:strRef>
              <c:f>4!$D$5</c:f>
              <c:strCache>
                <c:ptCount val="1"/>
                <c:pt idx="0">
                  <c:v>KADRO</c:v>
                </c:pt>
              </c:strCache>
            </c:strRef>
          </c:tx>
          <c:spPr>
            <a:solidFill>
              <a:srgbClr val="33CC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4!$D$6:$D$9</c:f>
              <c:numCache>
                <c:ptCount val="4"/>
                <c:pt idx="0">
                  <c:v>0</c:v>
                </c:pt>
                <c:pt idx="1">
                  <c:v>0</c:v>
                </c:pt>
                <c:pt idx="2">
                  <c:v>0</c:v>
                </c:pt>
                <c:pt idx="3">
                  <c:v>0</c:v>
                </c:pt>
              </c:numCache>
            </c:numRef>
          </c:val>
          <c:shape val="cylinder"/>
        </c:ser>
        <c:ser>
          <c:idx val="1"/>
          <c:order val="1"/>
          <c:tx>
            <c:strRef>
              <c:f>4!$E$5</c:f>
              <c:strCache>
                <c:ptCount val="1"/>
                <c:pt idx="0">
                  <c:v>ÇALIŞAN</c:v>
                </c:pt>
              </c:strCache>
            </c:strRef>
          </c:tx>
          <c:spPr>
            <a:pattFill prst="weave">
              <a:fgClr>
                <a:srgbClr val="FFFF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weave">
                <a:fgClr>
                  <a:srgbClr val="FFFF00"/>
                </a:fgClr>
                <a:bgClr>
                  <a:srgbClr val="000000"/>
                </a:bgClr>
              </a:pattFill>
            </c:spPr>
          </c:dPt>
          <c:dLbls>
            <c:dLbl>
              <c:idx val="0"/>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4!$A$6:$A$9</c:f>
              <c:strCache/>
            </c:strRef>
          </c:cat>
          <c:val>
            <c:numRef>
              <c:f>4!$E$6:$E$9</c:f>
              <c:numCache>
                <c:ptCount val="4"/>
                <c:pt idx="0">
                  <c:v>0</c:v>
                </c:pt>
                <c:pt idx="1">
                  <c:v>0</c:v>
                </c:pt>
                <c:pt idx="2">
                  <c:v>0</c:v>
                </c:pt>
                <c:pt idx="3">
                  <c:v>0</c:v>
                </c:pt>
              </c:numCache>
            </c:numRef>
          </c:val>
          <c:shape val="cylinder"/>
        </c:ser>
        <c:shape val="cylinder"/>
        <c:axId val="20953733"/>
        <c:axId val="54365870"/>
      </c:bar3DChart>
      <c:catAx>
        <c:axId val="20953733"/>
        <c:scaling>
          <c:orientation val="minMax"/>
        </c:scaling>
        <c:axPos val="b"/>
        <c:delete val="0"/>
        <c:numFmt formatCode="General" sourceLinked="1"/>
        <c:majorTickMark val="out"/>
        <c:minorTickMark val="none"/>
        <c:tickLblPos val="low"/>
        <c:txPr>
          <a:bodyPr/>
          <a:lstStyle/>
          <a:p>
            <a:pPr>
              <a:defRPr lang="en-US" cap="none" sz="800" b="1" i="0" u="none" baseline="0"/>
            </a:pPr>
          </a:p>
        </c:txPr>
        <c:crossAx val="54365870"/>
        <c:crosses val="autoZero"/>
        <c:auto val="1"/>
        <c:lblOffset val="100"/>
        <c:noMultiLvlLbl val="0"/>
      </c:catAx>
      <c:valAx>
        <c:axId val="54365870"/>
        <c:scaling>
          <c:orientation val="minMax"/>
          <c:max val="5000"/>
        </c:scaling>
        <c:axPos val="l"/>
        <c:majorGridlines>
          <c:spPr>
            <a:ln w="3175">
              <a:solidFill/>
              <a:prstDash val="sysDot"/>
            </a:ln>
          </c:spPr>
        </c:majorGridlines>
        <c:delete val="0"/>
        <c:numFmt formatCode="#,##0" sourceLinked="0"/>
        <c:majorTickMark val="out"/>
        <c:minorTickMark val="none"/>
        <c:tickLblPos val="nextTo"/>
        <c:spPr>
          <a:ln w="3175">
            <a:solidFill/>
          </a:ln>
        </c:spPr>
        <c:txPr>
          <a:bodyPr/>
          <a:lstStyle/>
          <a:p>
            <a:pPr>
              <a:defRPr lang="en-US" cap="none" sz="800" b="1" i="0" u="none" baseline="0"/>
            </a:pPr>
          </a:p>
        </c:txPr>
        <c:crossAx val="20953733"/>
        <c:crossesAt val="1"/>
        <c:crossBetween val="between"/>
        <c:dispUnits/>
        <c:majorUnit val="1000"/>
        <c:minorUnit val="1000"/>
      </c:valAx>
      <c:spPr>
        <a:noFill/>
        <a:ln>
          <a:noFill/>
        </a:ln>
      </c:spPr>
    </c:plotArea>
    <c:legend>
      <c:legendPos val="r"/>
      <c:layout>
        <c:manualLayout>
          <c:xMode val="edge"/>
          <c:yMode val="edge"/>
          <c:x val="0.8745"/>
          <c:y val="0.1915"/>
        </c:manualLayout>
      </c:layout>
      <c:overlay val="0"/>
      <c:spPr>
        <a:blipFill>
          <a:blip r:embed="rId1"/>
          <a:srcRect/>
          <a:tile sx="100000" sy="100000" flip="none" algn="tl"/>
        </a:blipFill>
      </c:spPr>
      <c:txPr>
        <a:bodyPr vert="horz" rot="0"/>
        <a:lstStyle/>
        <a:p>
          <a:pPr>
            <a:defRPr lang="en-US" cap="none" sz="800" b="1" i="0" u="none" baseline="0"/>
          </a:pPr>
        </a:p>
      </c:txPr>
    </c:legend>
    <c:floor>
      <c:spPr>
        <a:solidFill>
          <a:srgbClr val="969696"/>
        </a:solidFill>
      </c:spPr>
      <c:thickness val="0"/>
    </c:floor>
    <c:sideWall>
      <c:spPr>
        <a:blipFill>
          <a:blip r:embed="rId2"/>
          <a:srcRect/>
          <a:tile sx="100000" sy="100000" flip="none" algn="tl"/>
        </a:blipFill>
        <a:ln w="3175">
          <a:solidFill/>
          <a:prstDash val="sysDot"/>
        </a:ln>
      </c:spPr>
      <c:thickness val="0"/>
    </c:sideWall>
    <c:backWall>
      <c:spPr>
        <a:blipFill>
          <a:blip r:embed="rId3"/>
          <a:srcRect/>
          <a:tile sx="100000" sy="100000" flip="none" algn="tl"/>
        </a:blipFill>
        <a:ln w="3175">
          <a:solidFill/>
          <a:prstDash val="sysDot"/>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50" b="0" i="0" u="none" baseline="0">
          <a:latin typeface="Arial Tur"/>
          <a:ea typeface="Arial Tur"/>
          <a:cs typeface="Arial Tu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Grafik 2 - MERKEZ TEŞKİLATI KADRO VE ÇALIŞAN PERSONEL DAĞILIMI </a:t>
            </a:r>
            <a:r>
              <a:rPr lang="en-US" cap="none" sz="225" b="1" i="0" u="none" baseline="0"/>
              <a:t>( 28.02.2006 )</a:t>
            </a:r>
          </a:p>
        </c:rich>
      </c:tx>
      <c:layout/>
      <c:spPr>
        <a:noFill/>
        <a:ln>
          <a:noFill/>
        </a:ln>
      </c:spPr>
    </c:title>
    <c:plotArea>
      <c:layout/>
      <c:barChart>
        <c:barDir val="col"/>
        <c:grouping val="clustered"/>
        <c:varyColors val="0"/>
        <c:ser>
          <c:idx val="0"/>
          <c:order val="0"/>
          <c:tx>
            <c:strRef>
              <c:f>3!$B$27</c:f>
              <c:strCache>
                <c:ptCount val="1"/>
                <c:pt idx="0">
                  <c:v>KADRO</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3!$B$28:$B$33</c:f>
              <c:numCache>
                <c:ptCount val="6"/>
                <c:pt idx="0">
                  <c:v>1515</c:v>
                </c:pt>
                <c:pt idx="1">
                  <c:v>1997</c:v>
                </c:pt>
                <c:pt idx="2">
                  <c:v>1518</c:v>
                </c:pt>
                <c:pt idx="3">
                  <c:v>119</c:v>
                </c:pt>
                <c:pt idx="4">
                  <c:v>51</c:v>
                </c:pt>
                <c:pt idx="5">
                  <c:v>5200</c:v>
                </c:pt>
              </c:numCache>
            </c:numRef>
          </c:val>
        </c:ser>
        <c:ser>
          <c:idx val="2"/>
          <c:order val="1"/>
          <c:tx>
            <c:strRef>
              <c:f>3!$D$27</c:f>
              <c:strCache>
                <c:ptCount val="1"/>
                <c:pt idx="0">
                  <c:v>ÇALIŞAN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50"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pPr>
              </a:p>
            </c:txPr>
            <c:showLegendKey val="0"/>
            <c:showVal val="1"/>
            <c:showBubbleSize val="0"/>
            <c:showCatName val="0"/>
            <c:showSerName val="0"/>
            <c:showPercent val="0"/>
          </c:dLbls>
          <c:cat>
            <c:strRef>
              <c:f>3!$A$28:$A$33</c:f>
              <c:strCache>
                <c:ptCount val="6"/>
                <c:pt idx="0">
                  <c:v>BAŞKANLIK</c:v>
                </c:pt>
                <c:pt idx="1">
                  <c:v>SİGORTA İŞL.GEN.MÜD.</c:v>
                </c:pt>
                <c:pt idx="2">
                  <c:v>SAĞLIK İŞL.GEN.MÜD.</c:v>
                </c:pt>
                <c:pt idx="3">
                  <c:v>İŞÇİ</c:v>
                </c:pt>
                <c:pt idx="4">
                  <c:v>SÖZLEŞMELİ</c:v>
                </c:pt>
                <c:pt idx="5">
                  <c:v>TOPLAM</c:v>
                </c:pt>
              </c:strCache>
            </c:strRef>
          </c:cat>
          <c:val>
            <c:numRef>
              <c:f>3!$D$28:$D$33</c:f>
              <c:numCache>
                <c:ptCount val="6"/>
                <c:pt idx="0">
                  <c:v>885</c:v>
                </c:pt>
                <c:pt idx="1">
                  <c:v>1506</c:v>
                </c:pt>
                <c:pt idx="2">
                  <c:v>681</c:v>
                </c:pt>
                <c:pt idx="3">
                  <c:v>39</c:v>
                </c:pt>
                <c:pt idx="4">
                  <c:v>0</c:v>
                </c:pt>
                <c:pt idx="5">
                  <c:v>3111</c:v>
                </c:pt>
              </c:numCache>
            </c:numRef>
          </c:val>
        </c:ser>
        <c:axId val="19530783"/>
        <c:axId val="41559320"/>
      </c:barChart>
      <c:catAx>
        <c:axId val="19530783"/>
        <c:scaling>
          <c:orientation val="minMax"/>
        </c:scaling>
        <c:axPos val="b"/>
        <c:title>
          <c:tx>
            <c:rich>
              <a:bodyPr vert="horz" rot="0" anchor="ctr"/>
              <a:lstStyle/>
              <a:p>
                <a:pPr algn="ctr">
                  <a:defRPr/>
                </a:pPr>
                <a:r>
                  <a:rPr lang="en-US" cap="none" sz="250" b="1" i="0" u="none" baseline="0"/>
                  <a:t>KİŞİ</a:t>
                </a:r>
              </a:p>
            </c:rich>
          </c:tx>
          <c:layout/>
          <c:overlay val="0"/>
          <c:spPr>
            <a:noFill/>
            <a:ln>
              <a:noFill/>
            </a:ln>
          </c:spPr>
        </c:title>
        <c:delete val="0"/>
        <c:numFmt formatCode="General" sourceLinked="1"/>
        <c:majorTickMark val="out"/>
        <c:minorTickMark val="none"/>
        <c:tickLblPos val="nextTo"/>
        <c:txPr>
          <a:bodyPr/>
          <a:lstStyle/>
          <a:p>
            <a:pPr>
              <a:defRPr lang="en-US" cap="none" sz="275" b="1" i="0" u="none" baseline="0"/>
            </a:pPr>
          </a:p>
        </c:txPr>
        <c:crossAx val="41559320"/>
        <c:crosses val="autoZero"/>
        <c:auto val="1"/>
        <c:lblOffset val="100"/>
        <c:noMultiLvlLbl val="0"/>
      </c:catAx>
      <c:valAx>
        <c:axId val="4155932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250" b="1" i="0" u="none" baseline="0"/>
            </a:pPr>
          </a:p>
        </c:txPr>
        <c:crossAx val="19530783"/>
        <c:crossesAt val="1"/>
        <c:crossBetween val="between"/>
        <c:dispUnits/>
      </c:valAx>
      <c:spPr>
        <a:solidFill>
          <a:srgbClr val="FFFFFF"/>
        </a:solidFill>
        <a:ln w="3175">
          <a:noFill/>
        </a:ln>
      </c:spPr>
    </c:plotArea>
    <c:legend>
      <c:legendPos val="r"/>
      <c:layout/>
      <c:overlay val="0"/>
      <c:txPr>
        <a:bodyPr vert="horz" rot="0"/>
        <a:lstStyle/>
        <a:p>
          <a:pPr>
            <a:defRPr lang="en-US" cap="none" sz="250" b="1" i="0" u="none" baseline="0"/>
          </a:pPr>
        </a:p>
      </c:txPr>
    </c:legend>
    <c:plotVisOnly val="1"/>
    <c:dispBlanksAs val="gap"/>
    <c:showDLblsOverMax val="0"/>
  </c:chart>
  <c:txPr>
    <a:bodyPr vert="horz" rot="0"/>
    <a:lstStyle/>
    <a:p>
      <a:pPr>
        <a:defRPr lang="en-US" cap="none" sz="350" b="0" i="0" u="none" baseline="0">
          <a:latin typeface="Arial Tur"/>
          <a:ea typeface="Arial Tur"/>
          <a:cs typeface="Arial Tu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solidFill>
                  <a:srgbClr val="0000FF"/>
                </a:solidFill>
              </a:rPr>
              <a:t>Grafik 5 - İLAÇ VE TIBBİ MALZEME SANAYİİ MÜESSESESİ PERSONEL DURUMU ( 30.06.2006 )</a:t>
            </a:r>
          </a:p>
        </c:rich>
      </c:tx>
      <c:layout/>
      <c:spPr>
        <a:noFill/>
        <a:ln>
          <a:noFill/>
        </a:ln>
      </c:spPr>
    </c:title>
    <c:view3D>
      <c:rotX val="15"/>
      <c:rotY val="20"/>
      <c:depthPercent val="100"/>
      <c:rAngAx val="1"/>
    </c:view3D>
    <c:plotArea>
      <c:layout>
        <c:manualLayout>
          <c:xMode val="edge"/>
          <c:yMode val="edge"/>
          <c:x val="0.01775"/>
          <c:y val="0.137"/>
          <c:w val="0.82675"/>
          <c:h val="0.846"/>
        </c:manualLayout>
      </c:layout>
      <c:bar3DChart>
        <c:barDir val="col"/>
        <c:grouping val="clustered"/>
        <c:varyColors val="0"/>
        <c:ser>
          <c:idx val="0"/>
          <c:order val="0"/>
          <c:tx>
            <c:strRef>
              <c:f>5!$B$4</c:f>
              <c:strCache>
                <c:ptCount val="1"/>
                <c:pt idx="0">
                  <c:v>KADRO</c:v>
                </c:pt>
              </c:strCache>
            </c:strRef>
          </c:tx>
          <c:spPr>
            <a:gradFill rotWithShape="1">
              <a:gsLst>
                <a:gs pos="0">
                  <a:srgbClr val="752F00"/>
                </a:gs>
                <a:gs pos="100000">
                  <a:srgbClr val="FF66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52F00"/>
                  </a:gs>
                  <a:gs pos="100000">
                    <a:srgbClr val="FF6600"/>
                  </a:gs>
                </a:gsLst>
                <a:path path="rect">
                  <a:fillToRect l="50000" t="50000" r="50000" b="50000"/>
                </a:path>
              </a:gradFill>
            </c:spPr>
          </c:dPt>
          <c:dLbls>
            <c:dLbl>
              <c:idx val="0"/>
              <c:layout>
                <c:manualLayout>
                  <c:x val="0"/>
                  <c:y val="0"/>
                </c:manualLayout>
              </c:layout>
              <c:txPr>
                <a:bodyPr vert="horz" rot="0" anchor="ctr"/>
                <a:lstStyle/>
                <a:p>
                  <a:pPr algn="ctr">
                    <a:defRPr lang="en-US" cap="none" sz="13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3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375" b="1" i="0" u="none" baseline="0"/>
                </a:pPr>
              </a:p>
            </c:txPr>
            <c:showLegendKey val="0"/>
            <c:showVal val="1"/>
            <c:showBubbleSize val="0"/>
            <c:showCatName val="0"/>
            <c:showSerName val="0"/>
            <c:showPercent val="0"/>
          </c:dLbls>
          <c:cat>
            <c:strRef>
              <c:f>5!$A$6:$A$7</c:f>
              <c:strCache/>
            </c:strRef>
          </c:cat>
          <c:val>
            <c:numRef>
              <c:f>5!$B$6:$B$7</c:f>
              <c:numCache>
                <c:ptCount val="2"/>
                <c:pt idx="0">
                  <c:v>0</c:v>
                </c:pt>
                <c:pt idx="1">
                  <c:v>0</c:v>
                </c:pt>
              </c:numCache>
            </c:numRef>
          </c:val>
          <c:shape val="box"/>
        </c:ser>
        <c:ser>
          <c:idx val="2"/>
          <c:order val="1"/>
          <c:tx>
            <c:strRef>
              <c:f>5!$D$4</c:f>
              <c:strCache>
                <c:ptCount val="1"/>
                <c:pt idx="0">
                  <c:v>ÇALIŞAN</c:v>
                </c:pt>
              </c:strCache>
            </c:strRef>
          </c:tx>
          <c:spPr>
            <a:pattFill prst="wdDnDiag">
              <a:fgClr>
                <a:srgbClr val="99CC0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7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7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pPr>
              </a:p>
            </c:txPr>
            <c:showLegendKey val="0"/>
            <c:showVal val="1"/>
            <c:showBubbleSize val="0"/>
            <c:showCatName val="0"/>
            <c:showSerName val="0"/>
            <c:showPercent val="0"/>
          </c:dLbls>
          <c:cat>
            <c:strRef>
              <c:f>5!$A$6:$A$7</c:f>
              <c:strCache/>
            </c:strRef>
          </c:cat>
          <c:val>
            <c:numRef>
              <c:f>5!$D$6:$D$7</c:f>
              <c:numCache>
                <c:ptCount val="2"/>
                <c:pt idx="0">
                  <c:v>0</c:v>
                </c:pt>
                <c:pt idx="1">
                  <c:v>0</c:v>
                </c:pt>
              </c:numCache>
            </c:numRef>
          </c:val>
          <c:shape val="box"/>
        </c:ser>
        <c:shape val="box"/>
        <c:axId val="38489561"/>
        <c:axId val="10861730"/>
      </c:bar3DChart>
      <c:catAx>
        <c:axId val="38489561"/>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10861730"/>
        <c:crosses val="autoZero"/>
        <c:auto val="1"/>
        <c:lblOffset val="100"/>
        <c:noMultiLvlLbl val="0"/>
      </c:catAx>
      <c:valAx>
        <c:axId val="1086173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1" i="0" u="none" baseline="0"/>
            </a:pPr>
          </a:p>
        </c:txPr>
        <c:crossAx val="38489561"/>
        <c:crossesAt val="1"/>
        <c:crossBetween val="between"/>
        <c:dispUnits/>
      </c:valAx>
      <c:spPr>
        <a:noFill/>
        <a:ln>
          <a:noFill/>
        </a:ln>
      </c:spPr>
    </c:plotArea>
    <c:legend>
      <c:legendPos val="r"/>
      <c:layout>
        <c:manualLayout>
          <c:xMode val="edge"/>
          <c:yMode val="edge"/>
          <c:x val="0.86225"/>
          <c:y val="0.27075"/>
        </c:manualLayout>
      </c:layout>
      <c:overlay val="0"/>
      <c:spPr>
        <a:blipFill>
          <a:blip r:embed="rId1"/>
          <a:srcRect/>
          <a:tile sx="100000" sy="100000" flip="none" algn="tl"/>
        </a:blipFill>
      </c:spPr>
      <c:txPr>
        <a:bodyPr vert="horz" rot="0"/>
        <a:lstStyle/>
        <a:p>
          <a:pPr>
            <a:defRPr lang="en-US" cap="none" sz="900" b="1" i="0" u="none" baseline="0"/>
          </a:pPr>
        </a:p>
      </c:txPr>
    </c:legend>
    <c:floor>
      <c:thickness val="0"/>
    </c:floor>
    <c:sideWall>
      <c:spPr>
        <a:blipFill>
          <a:blip r:embed="rId2"/>
          <a:srcRect/>
          <a:tile sx="100000" sy="100000" flip="none" algn="tl"/>
        </a:blipFill>
        <a:ln w="3175">
          <a:noFill/>
        </a:ln>
      </c:spPr>
      <c:thickness val="0"/>
    </c:sideWall>
    <c:backWall>
      <c:spPr>
        <a:blipFill>
          <a:blip r:embed="rId3"/>
          <a:srcRect/>
          <a:tile sx="100000" sy="100000" flip="none" algn="tl"/>
        </a:blipFill>
        <a:ln w="3175">
          <a:noFill/>
        </a:ln>
      </c:spPr>
      <c:thickness val="0"/>
    </c:backWall>
    <c:plotVisOnly val="1"/>
    <c:dispBlanksAs val="gap"/>
    <c:showDLblsOverMax val="0"/>
  </c:chart>
  <c:spPr>
    <a:blipFill>
      <a:blip r:embed="rId4"/>
      <a:srcRect/>
      <a:tile sx="100000" sy="100000" flip="none" algn="tl"/>
    </a:blipFill>
    <a:ln w="38100">
      <a:solidFill/>
    </a:ln>
    <a:effectLst>
      <a:outerShdw dist="35921" dir="2700000" algn="br">
        <a:prstClr val="black"/>
      </a:outerShdw>
    </a:effectLst>
  </c:spPr>
  <c:txPr>
    <a:bodyPr vert="horz" rot="0"/>
    <a:lstStyle/>
    <a:p>
      <a:pPr>
        <a:defRPr lang="en-US" cap="none" sz="1175" b="0" i="0" u="none" baseline="0">
          <a:latin typeface="Arial Tur"/>
          <a:ea typeface="Arial Tur"/>
          <a:cs typeface="Arial Tu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FF"/>
                </a:solidFill>
              </a:rPr>
              <a:t>Grafik 6 - YILLIK ORT. DOLAR KURU ÜZERİNDEN KURUM AÇIKLARININ YILLAR İTİBARİYLE DEĞİŞİMİ </a:t>
            </a:r>
            <a:r>
              <a:rPr lang="en-US" cap="none" sz="800" b="0" i="1" u="none" baseline="0">
                <a:solidFill>
                  <a:srgbClr val="0000FF"/>
                </a:solidFill>
              </a:rPr>
              <a:t>( Deficit Based On Annual Average Exchange of Dollars )</a:t>
            </a:r>
          </a:p>
        </c:rich>
      </c:tx>
      <c:layout>
        <c:manualLayout>
          <c:xMode val="factor"/>
          <c:yMode val="factor"/>
          <c:x val="-0.0055"/>
          <c:y val="-0.00925"/>
        </c:manualLayout>
      </c:layout>
      <c:spPr>
        <a:noFill/>
        <a:ln>
          <a:noFill/>
        </a:ln>
      </c:spPr>
    </c:title>
    <c:plotArea>
      <c:layout>
        <c:manualLayout>
          <c:xMode val="edge"/>
          <c:yMode val="edge"/>
          <c:x val="0"/>
          <c:y val="0.2475"/>
          <c:w val="1"/>
          <c:h val="0.613"/>
        </c:manualLayout>
      </c:layout>
      <c:lineChart>
        <c:grouping val="standard"/>
        <c:varyColors val="0"/>
        <c:ser>
          <c:idx val="0"/>
          <c:order val="0"/>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FF"/>
                </a:solidFill>
              </a:ln>
              <a:effectLst>
                <a:outerShdw dist="35921" dir="2700000" algn="br">
                  <a:prstClr val="black"/>
                </a:outerShdw>
              </a:effectLst>
            </c:spPr>
          </c:marker>
          <c:dLbls>
            <c:dLbl>
              <c:idx val="0"/>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600" b="1"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pPr>
              </a:p>
            </c:txPr>
            <c:showLegendKey val="0"/>
            <c:showVal val="1"/>
            <c:showBubbleSize val="0"/>
            <c:showCatName val="0"/>
            <c:showSerName val="0"/>
            <c:showLeaderLines val="1"/>
            <c:showPercent val="0"/>
          </c:dLbls>
          <c:cat>
            <c:strRef>
              <c:f>7!$L$6:$L$23</c:f>
              <c:strCache/>
            </c:strRef>
          </c:cat>
          <c:val>
            <c:numRef>
              <c:f>7!$M$6:$M$23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1"/>
        </c:ser>
        <c:marker val="1"/>
        <c:axId val="30646707"/>
        <c:axId val="7384908"/>
      </c:lineChart>
      <c:catAx>
        <c:axId val="30646707"/>
        <c:scaling>
          <c:orientation val="minMax"/>
        </c:scaling>
        <c:axPos val="b"/>
        <c:title>
          <c:tx>
            <c:rich>
              <a:bodyPr vert="horz" rot="0" anchor="ctr"/>
              <a:lstStyle/>
              <a:p>
                <a:pPr algn="ctr">
                  <a:defRPr/>
                </a:pPr>
                <a:r>
                  <a:rPr lang="en-US" cap="none" sz="700" b="1" i="0" u="none" baseline="0"/>
                  <a:t>Milyon  Dolar</a:t>
                </a:r>
              </a:p>
            </c:rich>
          </c:tx>
          <c:layout>
            <c:manualLayout>
              <c:xMode val="factor"/>
              <c:yMode val="factor"/>
              <c:x val="0.285"/>
              <c:y val="-0.11525"/>
            </c:manualLayout>
          </c:layout>
          <c:overlay val="0"/>
          <c:spPr>
            <a:noFill/>
            <a:ln>
              <a:noFill/>
            </a:ln>
          </c:spPr>
        </c:title>
        <c:delete val="0"/>
        <c:numFmt formatCode="General" sourceLinked="1"/>
        <c:majorTickMark val="out"/>
        <c:minorTickMark val="none"/>
        <c:tickLblPos val="nextTo"/>
        <c:spPr>
          <a:ln w="25400">
            <a:solidFill/>
          </a:ln>
        </c:spPr>
        <c:txPr>
          <a:bodyPr vert="horz" rot="0"/>
          <a:lstStyle/>
          <a:p>
            <a:pPr>
              <a:defRPr lang="en-US" cap="none" sz="600" b="1" i="0" u="none" baseline="0"/>
            </a:pPr>
          </a:p>
        </c:txPr>
        <c:crossAx val="7384908"/>
        <c:crosses val="autoZero"/>
        <c:auto val="1"/>
        <c:lblOffset val="100"/>
        <c:noMultiLvlLbl val="0"/>
      </c:catAx>
      <c:valAx>
        <c:axId val="7384908"/>
        <c:scaling>
          <c:orientation val="minMax"/>
        </c:scaling>
        <c:axPos val="l"/>
        <c:majorGridlines>
          <c:spPr>
            <a:ln w="3175">
              <a:solidFill/>
              <a:prstDash val="sysDot"/>
            </a:ln>
          </c:spPr>
        </c:majorGridlines>
        <c:delete val="0"/>
        <c:numFmt formatCode="General" sourceLinked="1"/>
        <c:majorTickMark val="out"/>
        <c:minorTickMark val="none"/>
        <c:tickLblPos val="nextTo"/>
        <c:spPr>
          <a:ln w="25400">
            <a:solidFill/>
          </a:ln>
        </c:spPr>
        <c:txPr>
          <a:bodyPr/>
          <a:lstStyle/>
          <a:p>
            <a:pPr>
              <a:defRPr lang="en-US" cap="none" sz="600" b="1" i="0" u="none" baseline="0"/>
            </a:pPr>
          </a:p>
        </c:txPr>
        <c:crossAx val="30646707"/>
        <c:crossesAt val="1"/>
        <c:crossBetween val="between"/>
        <c:dispUnits/>
      </c:valAx>
      <c:spPr>
        <a:blipFill>
          <a:blip r:embed="rId1"/>
          <a:srcRect/>
          <a:tile sx="100000" sy="100000" flip="none" algn="tl"/>
        </a:blipFill>
        <a:ln w="3175">
          <a:noFill/>
        </a:ln>
      </c:spPr>
    </c:plotArea>
    <c:plotVisOnly val="1"/>
    <c:dispBlanksAs val="gap"/>
    <c:showDLblsOverMax val="0"/>
  </c:chart>
  <c:spPr>
    <a:blipFill>
      <a:blip r:embed="rId2"/>
      <a:srcRect/>
      <a:tile sx="100000" sy="100000" flip="none" algn="tl"/>
    </a:blipFill>
    <a:ln w="25400">
      <a:solidFill/>
    </a:ln>
    <a:effectLst>
      <a:outerShdw dist="35921" dir="2700000" algn="br">
        <a:prstClr val="black"/>
      </a:outerShdw>
    </a:effectLst>
  </c:spPr>
  <c:txPr>
    <a:bodyPr vert="horz" rot="0"/>
    <a:lstStyle/>
    <a:p>
      <a:pPr>
        <a:defRPr lang="en-US" cap="none" sz="1100" b="0" i="0" u="none" baseline="0">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7.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4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19050</xdr:rowOff>
    </xdr:from>
    <xdr:to>
      <xdr:col>8</xdr:col>
      <xdr:colOff>400050</xdr:colOff>
      <xdr:row>39</xdr:row>
      <xdr:rowOff>19050</xdr:rowOff>
    </xdr:to>
    <xdr:graphicFrame>
      <xdr:nvGraphicFramePr>
        <xdr:cNvPr id="1" name="Chart 2"/>
        <xdr:cNvGraphicFramePr/>
      </xdr:nvGraphicFramePr>
      <xdr:xfrm>
        <a:off x="152400" y="4743450"/>
        <a:ext cx="5734050" cy="2809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123825</xdr:rowOff>
    </xdr:from>
    <xdr:to>
      <xdr:col>4</xdr:col>
      <xdr:colOff>1181100</xdr:colOff>
      <xdr:row>49</xdr:row>
      <xdr:rowOff>66675</xdr:rowOff>
    </xdr:to>
    <xdr:graphicFrame>
      <xdr:nvGraphicFramePr>
        <xdr:cNvPr id="1" name="Chart 5"/>
        <xdr:cNvGraphicFramePr/>
      </xdr:nvGraphicFramePr>
      <xdr:xfrm>
        <a:off x="0" y="5991225"/>
        <a:ext cx="6096000" cy="2543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6</xdr:col>
      <xdr:colOff>9525</xdr:colOff>
      <xdr:row>50</xdr:row>
      <xdr:rowOff>0</xdr:rowOff>
    </xdr:to>
    <xdr:graphicFrame>
      <xdr:nvGraphicFramePr>
        <xdr:cNvPr id="1" name="Chart 1"/>
        <xdr:cNvGraphicFramePr/>
      </xdr:nvGraphicFramePr>
      <xdr:xfrm>
        <a:off x="0" y="5924550"/>
        <a:ext cx="6410325" cy="2676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16</xdr:row>
      <xdr:rowOff>9525</xdr:rowOff>
    </xdr:from>
    <xdr:to>
      <xdr:col>10</xdr:col>
      <xdr:colOff>638175</xdr:colOff>
      <xdr:row>28</xdr:row>
      <xdr:rowOff>0</xdr:rowOff>
    </xdr:to>
    <xdr:graphicFrame>
      <xdr:nvGraphicFramePr>
        <xdr:cNvPr id="1" name="Chart 4"/>
        <xdr:cNvGraphicFramePr/>
      </xdr:nvGraphicFramePr>
      <xdr:xfrm>
        <a:off x="3019425" y="4200525"/>
        <a:ext cx="8877300" cy="20574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15</xdr:row>
      <xdr:rowOff>19050</xdr:rowOff>
    </xdr:from>
    <xdr:to>
      <xdr:col>10</xdr:col>
      <xdr:colOff>590550</xdr:colOff>
      <xdr:row>29</xdr:row>
      <xdr:rowOff>152400</xdr:rowOff>
    </xdr:to>
    <xdr:graphicFrame>
      <xdr:nvGraphicFramePr>
        <xdr:cNvPr id="2" name="Chart 5"/>
        <xdr:cNvGraphicFramePr/>
      </xdr:nvGraphicFramePr>
      <xdr:xfrm>
        <a:off x="2228850" y="4038600"/>
        <a:ext cx="9620250" cy="25527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200025</xdr:rowOff>
    </xdr:from>
    <xdr:to>
      <xdr:col>10</xdr:col>
      <xdr:colOff>666750</xdr:colOff>
      <xdr:row>26</xdr:row>
      <xdr:rowOff>38100</xdr:rowOff>
    </xdr:to>
    <xdr:graphicFrame>
      <xdr:nvGraphicFramePr>
        <xdr:cNvPr id="1" name="Chart 3"/>
        <xdr:cNvGraphicFramePr/>
      </xdr:nvGraphicFramePr>
      <xdr:xfrm>
        <a:off x="0" y="2771775"/>
        <a:ext cx="8429625" cy="2647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0</xdr:rowOff>
    </xdr:from>
    <xdr:to>
      <xdr:col>10</xdr:col>
      <xdr:colOff>657225</xdr:colOff>
      <xdr:row>52</xdr:row>
      <xdr:rowOff>228600</xdr:rowOff>
    </xdr:to>
    <xdr:graphicFrame>
      <xdr:nvGraphicFramePr>
        <xdr:cNvPr id="2" name="Chart 6"/>
        <xdr:cNvGraphicFramePr/>
      </xdr:nvGraphicFramePr>
      <xdr:xfrm>
        <a:off x="19050" y="8124825"/>
        <a:ext cx="8401050" cy="2533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219075</xdr:rowOff>
    </xdr:from>
    <xdr:to>
      <xdr:col>4</xdr:col>
      <xdr:colOff>742950</xdr:colOff>
      <xdr:row>89</xdr:row>
      <xdr:rowOff>95250</xdr:rowOff>
    </xdr:to>
    <xdr:graphicFrame>
      <xdr:nvGraphicFramePr>
        <xdr:cNvPr id="1" name="Chart 3"/>
        <xdr:cNvGraphicFramePr/>
      </xdr:nvGraphicFramePr>
      <xdr:xfrm>
        <a:off x="9525" y="5953125"/>
        <a:ext cx="6172200" cy="3333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0.12725</cdr:y>
    </cdr:from>
    <cdr:to>
      <cdr:x>0</cdr:x>
      <cdr:y>0.3265</cdr:y>
    </cdr:to>
    <cdr:sp>
      <cdr:nvSpPr>
        <cdr:cNvPr id="1" name="Rectangle 1"/>
        <cdr:cNvSpPr>
          <a:spLocks/>
        </cdr:cNvSpPr>
      </cdr:nvSpPr>
      <cdr:spPr>
        <a:xfrm>
          <a:off x="0" y="495300"/>
          <a:ext cx="0" cy="790575"/>
        </a:xfrm>
        <a:prstGeom prst="rect">
          <a:avLst/>
        </a:prstGeom>
        <a:blipFill>
          <a:blip r:embed="rId1"/>
          <a:srcRect/>
          <a:stretch>
            <a:fillRect/>
          </a:stretch>
        </a:blipFill>
        <a:ln w="9525" cmpd="sng">
          <a:noFill/>
        </a:ln>
      </cdr:spPr>
      <cdr:txBody>
        <a:bodyPr vertOverflow="clip" wrap="square"/>
        <a:p>
          <a:pPr algn="ctr">
            <a:defRPr/>
          </a:pPr>
          <a:r>
            <a:rPr lang="en-US" cap="none" sz="1200" b="0" i="0" u="none" baseline="0"/>
            <a:t>
</a:t>
          </a:r>
          <a:r>
            <a:rPr lang="en-US" cap="none" sz="900" b="1" i="0" u="none" baseline="0"/>
            <a:t>Milyar TL</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6</xdr:col>
      <xdr:colOff>771525</xdr:colOff>
      <xdr:row>44</xdr:row>
      <xdr:rowOff>85725</xdr:rowOff>
    </xdr:to>
    <xdr:graphicFrame>
      <xdr:nvGraphicFramePr>
        <xdr:cNvPr id="1" name="Chart 3"/>
        <xdr:cNvGraphicFramePr/>
      </xdr:nvGraphicFramePr>
      <xdr:xfrm>
        <a:off x="9525" y="5114925"/>
        <a:ext cx="6705600" cy="3962400"/>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20</xdr:row>
      <xdr:rowOff>114300</xdr:rowOff>
    </xdr:from>
    <xdr:to>
      <xdr:col>5</xdr:col>
      <xdr:colOff>504825</xdr:colOff>
      <xdr:row>24</xdr:row>
      <xdr:rowOff>66675</xdr:rowOff>
    </xdr:to>
    <xdr:sp>
      <xdr:nvSpPr>
        <xdr:cNvPr id="2" name="Rectangle 4"/>
        <xdr:cNvSpPr>
          <a:spLocks/>
        </xdr:cNvSpPr>
      </xdr:nvSpPr>
      <xdr:spPr>
        <a:xfrm>
          <a:off x="1619250" y="5219700"/>
          <a:ext cx="3943350" cy="600075"/>
        </a:xfrm>
        <a:prstGeom prst="rect">
          <a:avLst/>
        </a:prstGeom>
        <a:blipFill>
          <a:blip r:embed="rId2"/>
          <a:srcRect/>
          <a:stretch>
            <a:fillRect/>
          </a:stretch>
        </a:blipFill>
        <a:ln w="9525" cmpd="sng">
          <a:noFill/>
        </a:ln>
      </xdr:spPr>
      <xdr:txBody>
        <a:bodyPr vertOverflow="clip" wrap="square"/>
        <a:p>
          <a:pPr algn="ctr">
            <a:defRPr/>
          </a:pPr>
          <a:r>
            <a:rPr lang="en-US" cap="none" sz="1200" b="0" i="0" u="none" baseline="0"/>
            <a:t>
</a:t>
          </a:r>
          <a:r>
            <a:rPr lang="en-US" cap="none" sz="1800" b="1" i="0" u="none" baseline="-25000">
              <a:solidFill>
                <a:srgbClr val="0000FF"/>
              </a:solidFill>
            </a:rPr>
            <a:t>Grafik 16 - SSK'nın Sağlık ve İlaç Ödemeleri</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5</xdr:col>
      <xdr:colOff>781050</xdr:colOff>
      <xdr:row>48</xdr:row>
      <xdr:rowOff>19050</xdr:rowOff>
    </xdr:to>
    <xdr:graphicFrame>
      <xdr:nvGraphicFramePr>
        <xdr:cNvPr id="1" name="Chart 3"/>
        <xdr:cNvGraphicFramePr/>
      </xdr:nvGraphicFramePr>
      <xdr:xfrm>
        <a:off x="28575" y="3267075"/>
        <a:ext cx="6038850" cy="534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xdr:row>
      <xdr:rowOff>161925</xdr:rowOff>
    </xdr:from>
    <xdr:to>
      <xdr:col>7</xdr:col>
      <xdr:colOff>533400</xdr:colOff>
      <xdr:row>11</xdr:row>
      <xdr:rowOff>0</xdr:rowOff>
    </xdr:to>
    <xdr:sp>
      <xdr:nvSpPr>
        <xdr:cNvPr id="1" name="Line 1"/>
        <xdr:cNvSpPr>
          <a:spLocks/>
        </xdr:cNvSpPr>
      </xdr:nvSpPr>
      <xdr:spPr>
        <a:xfrm>
          <a:off x="6457950" y="12954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1095375</xdr:colOff>
      <xdr:row>8</xdr:row>
      <xdr:rowOff>76200</xdr:rowOff>
    </xdr:from>
    <xdr:to>
      <xdr:col>7</xdr:col>
      <xdr:colOff>581025</xdr:colOff>
      <xdr:row>8</xdr:row>
      <xdr:rowOff>76200</xdr:rowOff>
    </xdr:to>
    <xdr:sp>
      <xdr:nvSpPr>
        <xdr:cNvPr id="2" name="Line 2"/>
        <xdr:cNvSpPr>
          <a:spLocks/>
        </xdr:cNvSpPr>
      </xdr:nvSpPr>
      <xdr:spPr>
        <a:xfrm flipH="1">
          <a:off x="3600450" y="15621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8</xdr:row>
      <xdr:rowOff>76200</xdr:rowOff>
    </xdr:from>
    <xdr:to>
      <xdr:col>11</xdr:col>
      <xdr:colOff>0</xdr:colOff>
      <xdr:row>8</xdr:row>
      <xdr:rowOff>76200</xdr:rowOff>
    </xdr:to>
    <xdr:sp>
      <xdr:nvSpPr>
        <xdr:cNvPr id="3" name="Line 3"/>
        <xdr:cNvSpPr>
          <a:spLocks/>
        </xdr:cNvSpPr>
      </xdr:nvSpPr>
      <xdr:spPr>
        <a:xfrm>
          <a:off x="6496050" y="15621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10</xdr:row>
      <xdr:rowOff>161925</xdr:rowOff>
    </xdr:from>
    <xdr:to>
      <xdr:col>7</xdr:col>
      <xdr:colOff>590550</xdr:colOff>
      <xdr:row>10</xdr:row>
      <xdr:rowOff>161925</xdr:rowOff>
    </xdr:to>
    <xdr:sp>
      <xdr:nvSpPr>
        <xdr:cNvPr id="4" name="Line 4"/>
        <xdr:cNvSpPr>
          <a:spLocks/>
        </xdr:cNvSpPr>
      </xdr:nvSpPr>
      <xdr:spPr>
        <a:xfrm flipH="1">
          <a:off x="3067050" y="198120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590550</xdr:colOff>
      <xdr:row>10</xdr:row>
      <xdr:rowOff>161925</xdr:rowOff>
    </xdr:from>
    <xdr:to>
      <xdr:col>13</xdr:col>
      <xdr:colOff>676275</xdr:colOff>
      <xdr:row>10</xdr:row>
      <xdr:rowOff>161925</xdr:rowOff>
    </xdr:to>
    <xdr:sp>
      <xdr:nvSpPr>
        <xdr:cNvPr id="5" name="Line 5"/>
        <xdr:cNvSpPr>
          <a:spLocks/>
        </xdr:cNvSpPr>
      </xdr:nvSpPr>
      <xdr:spPr>
        <a:xfrm>
          <a:off x="6515100" y="1981200"/>
          <a:ext cx="410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581025</xdr:colOff>
      <xdr:row>11</xdr:row>
      <xdr:rowOff>0</xdr:rowOff>
    </xdr:from>
    <xdr:to>
      <xdr:col>3</xdr:col>
      <xdr:colOff>581025</xdr:colOff>
      <xdr:row>11</xdr:row>
      <xdr:rowOff>152400</xdr:rowOff>
    </xdr:to>
    <xdr:sp>
      <xdr:nvSpPr>
        <xdr:cNvPr id="6" name="Line 6"/>
        <xdr:cNvSpPr>
          <a:spLocks/>
        </xdr:cNvSpPr>
      </xdr:nvSpPr>
      <xdr:spPr>
        <a:xfrm>
          <a:off x="3086100" y="19907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657225</xdr:colOff>
      <xdr:row>10</xdr:row>
      <xdr:rowOff>142875</xdr:rowOff>
    </xdr:from>
    <xdr:to>
      <xdr:col>13</xdr:col>
      <xdr:colOff>657225</xdr:colOff>
      <xdr:row>11</xdr:row>
      <xdr:rowOff>161925</xdr:rowOff>
    </xdr:to>
    <xdr:sp>
      <xdr:nvSpPr>
        <xdr:cNvPr id="7" name="Line 7"/>
        <xdr:cNvSpPr>
          <a:spLocks/>
        </xdr:cNvSpPr>
      </xdr:nvSpPr>
      <xdr:spPr>
        <a:xfrm>
          <a:off x="10601325" y="1962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14</xdr:row>
      <xdr:rowOff>9525</xdr:rowOff>
    </xdr:from>
    <xdr:to>
      <xdr:col>3</xdr:col>
      <xdr:colOff>523875</xdr:colOff>
      <xdr:row>15</xdr:row>
      <xdr:rowOff>9525</xdr:rowOff>
    </xdr:to>
    <xdr:sp>
      <xdr:nvSpPr>
        <xdr:cNvPr id="8" name="Line 8"/>
        <xdr:cNvSpPr>
          <a:spLocks/>
        </xdr:cNvSpPr>
      </xdr:nvSpPr>
      <xdr:spPr>
        <a:xfrm>
          <a:off x="3028950" y="2505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14</xdr:row>
      <xdr:rowOff>0</xdr:rowOff>
    </xdr:from>
    <xdr:to>
      <xdr:col>13</xdr:col>
      <xdr:colOff>561975</xdr:colOff>
      <xdr:row>14</xdr:row>
      <xdr:rowOff>161925</xdr:rowOff>
    </xdr:to>
    <xdr:sp>
      <xdr:nvSpPr>
        <xdr:cNvPr id="9" name="Line 9"/>
        <xdr:cNvSpPr>
          <a:spLocks/>
        </xdr:cNvSpPr>
      </xdr:nvSpPr>
      <xdr:spPr>
        <a:xfrm>
          <a:off x="10506075" y="2495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15</xdr:row>
      <xdr:rowOff>161925</xdr:rowOff>
    </xdr:from>
    <xdr:to>
      <xdr:col>3</xdr:col>
      <xdr:colOff>523875</xdr:colOff>
      <xdr:row>20</xdr:row>
      <xdr:rowOff>9525</xdr:rowOff>
    </xdr:to>
    <xdr:sp>
      <xdr:nvSpPr>
        <xdr:cNvPr id="10" name="Line 10"/>
        <xdr:cNvSpPr>
          <a:spLocks/>
        </xdr:cNvSpPr>
      </xdr:nvSpPr>
      <xdr:spPr>
        <a:xfrm>
          <a:off x="3028950"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295275</xdr:colOff>
      <xdr:row>19</xdr:row>
      <xdr:rowOff>9525</xdr:rowOff>
    </xdr:from>
    <xdr:to>
      <xdr:col>3</xdr:col>
      <xdr:colOff>561975</xdr:colOff>
      <xdr:row>19</xdr:row>
      <xdr:rowOff>9525</xdr:rowOff>
    </xdr:to>
    <xdr:sp>
      <xdr:nvSpPr>
        <xdr:cNvPr id="11" name="Line 11"/>
        <xdr:cNvSpPr>
          <a:spLocks/>
        </xdr:cNvSpPr>
      </xdr:nvSpPr>
      <xdr:spPr>
        <a:xfrm flipH="1">
          <a:off x="295275" y="335280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19</xdr:row>
      <xdr:rowOff>9525</xdr:rowOff>
    </xdr:from>
    <xdr:to>
      <xdr:col>0</xdr:col>
      <xdr:colOff>276225</xdr:colOff>
      <xdr:row>19</xdr:row>
      <xdr:rowOff>161925</xdr:rowOff>
    </xdr:to>
    <xdr:sp>
      <xdr:nvSpPr>
        <xdr:cNvPr id="12" name="Line 12"/>
        <xdr:cNvSpPr>
          <a:spLocks/>
        </xdr:cNvSpPr>
      </xdr:nvSpPr>
      <xdr:spPr>
        <a:xfrm>
          <a:off x="276225" y="33528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19</xdr:row>
      <xdr:rowOff>28575</xdr:rowOff>
    </xdr:from>
    <xdr:to>
      <xdr:col>6</xdr:col>
      <xdr:colOff>333375</xdr:colOff>
      <xdr:row>19</xdr:row>
      <xdr:rowOff>152400</xdr:rowOff>
    </xdr:to>
    <xdr:sp>
      <xdr:nvSpPr>
        <xdr:cNvPr id="13" name="Line 13"/>
        <xdr:cNvSpPr>
          <a:spLocks/>
        </xdr:cNvSpPr>
      </xdr:nvSpPr>
      <xdr:spPr>
        <a:xfrm>
          <a:off x="5476875" y="33718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21</xdr:row>
      <xdr:rowOff>161925</xdr:rowOff>
    </xdr:from>
    <xdr:to>
      <xdr:col>0</xdr:col>
      <xdr:colOff>285750</xdr:colOff>
      <xdr:row>41</xdr:row>
      <xdr:rowOff>76200</xdr:rowOff>
    </xdr:to>
    <xdr:sp>
      <xdr:nvSpPr>
        <xdr:cNvPr id="14" name="Line 14"/>
        <xdr:cNvSpPr>
          <a:spLocks/>
        </xdr:cNvSpPr>
      </xdr:nvSpPr>
      <xdr:spPr>
        <a:xfrm>
          <a:off x="276225" y="3838575"/>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247650</xdr:colOff>
      <xdr:row>23</xdr:row>
      <xdr:rowOff>76200</xdr:rowOff>
    </xdr:from>
    <xdr:to>
      <xdr:col>0</xdr:col>
      <xdr:colOff>885825</xdr:colOff>
      <xdr:row>23</xdr:row>
      <xdr:rowOff>76200</xdr:rowOff>
    </xdr:to>
    <xdr:sp>
      <xdr:nvSpPr>
        <xdr:cNvPr id="15" name="Line 15"/>
        <xdr:cNvSpPr>
          <a:spLocks/>
        </xdr:cNvSpPr>
      </xdr:nvSpPr>
      <xdr:spPr>
        <a:xfrm>
          <a:off x="247650" y="4095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26</xdr:row>
      <xdr:rowOff>76200</xdr:rowOff>
    </xdr:from>
    <xdr:to>
      <xdr:col>1</xdr:col>
      <xdr:colOff>0</xdr:colOff>
      <xdr:row>26</xdr:row>
      <xdr:rowOff>76200</xdr:rowOff>
    </xdr:to>
    <xdr:sp>
      <xdr:nvSpPr>
        <xdr:cNvPr id="16" name="Line 16"/>
        <xdr:cNvSpPr>
          <a:spLocks/>
        </xdr:cNvSpPr>
      </xdr:nvSpPr>
      <xdr:spPr>
        <a:xfrm>
          <a:off x="276225" y="4610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28</xdr:row>
      <xdr:rowOff>123825</xdr:rowOff>
    </xdr:from>
    <xdr:to>
      <xdr:col>1</xdr:col>
      <xdr:colOff>0</xdr:colOff>
      <xdr:row>28</xdr:row>
      <xdr:rowOff>123825</xdr:rowOff>
    </xdr:to>
    <xdr:sp>
      <xdr:nvSpPr>
        <xdr:cNvPr id="17" name="Line 17"/>
        <xdr:cNvSpPr>
          <a:spLocks/>
        </xdr:cNvSpPr>
      </xdr:nvSpPr>
      <xdr:spPr>
        <a:xfrm>
          <a:off x="285750" y="5000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22</xdr:row>
      <xdr:rowOff>0</xdr:rowOff>
    </xdr:from>
    <xdr:to>
      <xdr:col>3</xdr:col>
      <xdr:colOff>523875</xdr:colOff>
      <xdr:row>41</xdr:row>
      <xdr:rowOff>0</xdr:rowOff>
    </xdr:to>
    <xdr:sp>
      <xdr:nvSpPr>
        <xdr:cNvPr id="18" name="Line 18"/>
        <xdr:cNvSpPr>
          <a:spLocks/>
        </xdr:cNvSpPr>
      </xdr:nvSpPr>
      <xdr:spPr>
        <a:xfrm>
          <a:off x="3028950" y="3848100"/>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23</xdr:row>
      <xdr:rowOff>76200</xdr:rowOff>
    </xdr:from>
    <xdr:to>
      <xdr:col>4</xdr:col>
      <xdr:colOff>0</xdr:colOff>
      <xdr:row>23</xdr:row>
      <xdr:rowOff>76200</xdr:rowOff>
    </xdr:to>
    <xdr:sp>
      <xdr:nvSpPr>
        <xdr:cNvPr id="19" name="Line 19"/>
        <xdr:cNvSpPr>
          <a:spLocks/>
        </xdr:cNvSpPr>
      </xdr:nvSpPr>
      <xdr:spPr>
        <a:xfrm flipV="1">
          <a:off x="3028950" y="4095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27</xdr:row>
      <xdr:rowOff>0</xdr:rowOff>
    </xdr:from>
    <xdr:to>
      <xdr:col>4</xdr:col>
      <xdr:colOff>0</xdr:colOff>
      <xdr:row>27</xdr:row>
      <xdr:rowOff>0</xdr:rowOff>
    </xdr:to>
    <xdr:sp>
      <xdr:nvSpPr>
        <xdr:cNvPr id="20" name="Line 20"/>
        <xdr:cNvSpPr>
          <a:spLocks/>
        </xdr:cNvSpPr>
      </xdr:nvSpPr>
      <xdr:spPr>
        <a:xfrm flipV="1">
          <a:off x="3028950" y="47053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390525</xdr:colOff>
      <xdr:row>21</xdr:row>
      <xdr:rowOff>161925</xdr:rowOff>
    </xdr:from>
    <xdr:to>
      <xdr:col>6</xdr:col>
      <xdr:colOff>400050</xdr:colOff>
      <xdr:row>41</xdr:row>
      <xdr:rowOff>95250</xdr:rowOff>
    </xdr:to>
    <xdr:sp>
      <xdr:nvSpPr>
        <xdr:cNvPr id="21" name="Line 21"/>
        <xdr:cNvSpPr>
          <a:spLocks/>
        </xdr:cNvSpPr>
      </xdr:nvSpPr>
      <xdr:spPr>
        <a:xfrm flipH="1">
          <a:off x="5534025" y="3838575"/>
          <a:ext cx="9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23</xdr:row>
      <xdr:rowOff>85725</xdr:rowOff>
    </xdr:from>
    <xdr:to>
      <xdr:col>7</xdr:col>
      <xdr:colOff>0</xdr:colOff>
      <xdr:row>23</xdr:row>
      <xdr:rowOff>85725</xdr:rowOff>
    </xdr:to>
    <xdr:sp>
      <xdr:nvSpPr>
        <xdr:cNvPr id="22" name="Line 22"/>
        <xdr:cNvSpPr>
          <a:spLocks/>
        </xdr:cNvSpPr>
      </xdr:nvSpPr>
      <xdr:spPr>
        <a:xfrm flipV="1">
          <a:off x="5524500" y="4105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428625</xdr:colOff>
      <xdr:row>22</xdr:row>
      <xdr:rowOff>0</xdr:rowOff>
    </xdr:from>
    <xdr:to>
      <xdr:col>10</xdr:col>
      <xdr:colOff>428625</xdr:colOff>
      <xdr:row>41</xdr:row>
      <xdr:rowOff>123825</xdr:rowOff>
    </xdr:to>
    <xdr:sp>
      <xdr:nvSpPr>
        <xdr:cNvPr id="23" name="Line 23"/>
        <xdr:cNvSpPr>
          <a:spLocks/>
        </xdr:cNvSpPr>
      </xdr:nvSpPr>
      <xdr:spPr>
        <a:xfrm>
          <a:off x="7781925" y="3848100"/>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24</xdr:row>
      <xdr:rowOff>66675</xdr:rowOff>
    </xdr:from>
    <xdr:to>
      <xdr:col>10</xdr:col>
      <xdr:colOff>800100</xdr:colOff>
      <xdr:row>24</xdr:row>
      <xdr:rowOff>66675</xdr:rowOff>
    </xdr:to>
    <xdr:sp>
      <xdr:nvSpPr>
        <xdr:cNvPr id="24" name="Line 24"/>
        <xdr:cNvSpPr>
          <a:spLocks/>
        </xdr:cNvSpPr>
      </xdr:nvSpPr>
      <xdr:spPr>
        <a:xfrm>
          <a:off x="7791450" y="42576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28</xdr:row>
      <xdr:rowOff>123825</xdr:rowOff>
    </xdr:from>
    <xdr:to>
      <xdr:col>11</xdr:col>
      <xdr:colOff>0</xdr:colOff>
      <xdr:row>28</xdr:row>
      <xdr:rowOff>123825</xdr:rowOff>
    </xdr:to>
    <xdr:sp>
      <xdr:nvSpPr>
        <xdr:cNvPr id="25" name="Line 25"/>
        <xdr:cNvSpPr>
          <a:spLocks/>
        </xdr:cNvSpPr>
      </xdr:nvSpPr>
      <xdr:spPr>
        <a:xfrm>
          <a:off x="7791450" y="500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15</xdr:row>
      <xdr:rowOff>161925</xdr:rowOff>
    </xdr:from>
    <xdr:to>
      <xdr:col>13</xdr:col>
      <xdr:colOff>561975</xdr:colOff>
      <xdr:row>20</xdr:row>
      <xdr:rowOff>9525</xdr:rowOff>
    </xdr:to>
    <xdr:sp>
      <xdr:nvSpPr>
        <xdr:cNvPr id="26" name="Line 26"/>
        <xdr:cNvSpPr>
          <a:spLocks/>
        </xdr:cNvSpPr>
      </xdr:nvSpPr>
      <xdr:spPr>
        <a:xfrm>
          <a:off x="10506075" y="28289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13</xdr:col>
      <xdr:colOff>571500</xdr:colOff>
      <xdr:row>19</xdr:row>
      <xdr:rowOff>0</xdr:rowOff>
    </xdr:to>
    <xdr:sp>
      <xdr:nvSpPr>
        <xdr:cNvPr id="27" name="Line 27"/>
        <xdr:cNvSpPr>
          <a:spLocks/>
        </xdr:cNvSpPr>
      </xdr:nvSpPr>
      <xdr:spPr>
        <a:xfrm flipH="1">
          <a:off x="7810500" y="3343275"/>
          <a:ext cx="270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10</xdr:col>
      <xdr:colOff>457200</xdr:colOff>
      <xdr:row>20</xdr:row>
      <xdr:rowOff>0</xdr:rowOff>
    </xdr:to>
    <xdr:sp>
      <xdr:nvSpPr>
        <xdr:cNvPr id="28" name="Line 28"/>
        <xdr:cNvSpPr>
          <a:spLocks/>
        </xdr:cNvSpPr>
      </xdr:nvSpPr>
      <xdr:spPr>
        <a:xfrm>
          <a:off x="7810500" y="3343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19</xdr:row>
      <xdr:rowOff>0</xdr:rowOff>
    </xdr:from>
    <xdr:to>
      <xdr:col>15</xdr:col>
      <xdr:colOff>342900</xdr:colOff>
      <xdr:row>19</xdr:row>
      <xdr:rowOff>9525</xdr:rowOff>
    </xdr:to>
    <xdr:sp>
      <xdr:nvSpPr>
        <xdr:cNvPr id="29" name="Line 29"/>
        <xdr:cNvSpPr>
          <a:spLocks/>
        </xdr:cNvSpPr>
      </xdr:nvSpPr>
      <xdr:spPr>
        <a:xfrm>
          <a:off x="10506075" y="3343275"/>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361950</xdr:colOff>
      <xdr:row>19</xdr:row>
      <xdr:rowOff>0</xdr:rowOff>
    </xdr:from>
    <xdr:to>
      <xdr:col>15</xdr:col>
      <xdr:colOff>361950</xdr:colOff>
      <xdr:row>20</xdr:row>
      <xdr:rowOff>9525</xdr:rowOff>
    </xdr:to>
    <xdr:sp>
      <xdr:nvSpPr>
        <xdr:cNvPr id="30" name="Line 30"/>
        <xdr:cNvSpPr>
          <a:spLocks/>
        </xdr:cNvSpPr>
      </xdr:nvSpPr>
      <xdr:spPr>
        <a:xfrm>
          <a:off x="12677775" y="33432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571500</xdr:colOff>
      <xdr:row>21</xdr:row>
      <xdr:rowOff>152400</xdr:rowOff>
    </xdr:from>
    <xdr:to>
      <xdr:col>13</xdr:col>
      <xdr:colOff>600075</xdr:colOff>
      <xdr:row>41</xdr:row>
      <xdr:rowOff>0</xdr:rowOff>
    </xdr:to>
    <xdr:sp>
      <xdr:nvSpPr>
        <xdr:cNvPr id="31" name="Line 31"/>
        <xdr:cNvSpPr>
          <a:spLocks/>
        </xdr:cNvSpPr>
      </xdr:nvSpPr>
      <xdr:spPr>
        <a:xfrm>
          <a:off x="10515600" y="3829050"/>
          <a:ext cx="1905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552450</xdr:colOff>
      <xdr:row>23</xdr:row>
      <xdr:rowOff>85725</xdr:rowOff>
    </xdr:from>
    <xdr:to>
      <xdr:col>14</xdr:col>
      <xdr:colOff>0</xdr:colOff>
      <xdr:row>23</xdr:row>
      <xdr:rowOff>85725</xdr:rowOff>
    </xdr:to>
    <xdr:sp>
      <xdr:nvSpPr>
        <xdr:cNvPr id="32" name="Line 32"/>
        <xdr:cNvSpPr>
          <a:spLocks/>
        </xdr:cNvSpPr>
      </xdr:nvSpPr>
      <xdr:spPr>
        <a:xfrm>
          <a:off x="10496550" y="41052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23</xdr:row>
      <xdr:rowOff>66675</xdr:rowOff>
    </xdr:from>
    <xdr:to>
      <xdr:col>15</xdr:col>
      <xdr:colOff>695325</xdr:colOff>
      <xdr:row>23</xdr:row>
      <xdr:rowOff>66675</xdr:rowOff>
    </xdr:to>
    <xdr:sp>
      <xdr:nvSpPr>
        <xdr:cNvPr id="33" name="Line 33"/>
        <xdr:cNvSpPr>
          <a:spLocks/>
        </xdr:cNvSpPr>
      </xdr:nvSpPr>
      <xdr:spPr>
        <a:xfrm>
          <a:off x="12658725" y="4086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333375</xdr:colOff>
      <xdr:row>22</xdr:row>
      <xdr:rowOff>9525</xdr:rowOff>
    </xdr:from>
    <xdr:to>
      <xdr:col>15</xdr:col>
      <xdr:colOff>371475</xdr:colOff>
      <xdr:row>41</xdr:row>
      <xdr:rowOff>123825</xdr:rowOff>
    </xdr:to>
    <xdr:sp>
      <xdr:nvSpPr>
        <xdr:cNvPr id="34" name="Line 34"/>
        <xdr:cNvSpPr>
          <a:spLocks/>
        </xdr:cNvSpPr>
      </xdr:nvSpPr>
      <xdr:spPr>
        <a:xfrm flipH="1">
          <a:off x="12649200" y="3857625"/>
          <a:ext cx="2857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18</xdr:row>
      <xdr:rowOff>9525</xdr:rowOff>
    </xdr:from>
    <xdr:to>
      <xdr:col>14</xdr:col>
      <xdr:colOff>9525</xdr:colOff>
      <xdr:row>18</xdr:row>
      <xdr:rowOff>9525</xdr:rowOff>
    </xdr:to>
    <xdr:sp>
      <xdr:nvSpPr>
        <xdr:cNvPr id="35" name="Line 35"/>
        <xdr:cNvSpPr>
          <a:spLocks/>
        </xdr:cNvSpPr>
      </xdr:nvSpPr>
      <xdr:spPr>
        <a:xfrm>
          <a:off x="10506075" y="31813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26</xdr:row>
      <xdr:rowOff>142875</xdr:rowOff>
    </xdr:from>
    <xdr:to>
      <xdr:col>16</xdr:col>
      <xdr:colOff>0</xdr:colOff>
      <xdr:row>26</xdr:row>
      <xdr:rowOff>142875</xdr:rowOff>
    </xdr:to>
    <xdr:sp>
      <xdr:nvSpPr>
        <xdr:cNvPr id="36" name="Line 36"/>
        <xdr:cNvSpPr>
          <a:spLocks/>
        </xdr:cNvSpPr>
      </xdr:nvSpPr>
      <xdr:spPr>
        <a:xfrm>
          <a:off x="12658725" y="46767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19</xdr:row>
      <xdr:rowOff>9525</xdr:rowOff>
    </xdr:from>
    <xdr:to>
      <xdr:col>6</xdr:col>
      <xdr:colOff>333375</xdr:colOff>
      <xdr:row>19</xdr:row>
      <xdr:rowOff>9525</xdr:rowOff>
    </xdr:to>
    <xdr:sp>
      <xdr:nvSpPr>
        <xdr:cNvPr id="37" name="Line 37"/>
        <xdr:cNvSpPr>
          <a:spLocks/>
        </xdr:cNvSpPr>
      </xdr:nvSpPr>
      <xdr:spPr>
        <a:xfrm>
          <a:off x="3067050" y="335280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2</xdr:row>
      <xdr:rowOff>161925</xdr:rowOff>
    </xdr:from>
    <xdr:to>
      <xdr:col>7</xdr:col>
      <xdr:colOff>571500</xdr:colOff>
      <xdr:row>4</xdr:row>
      <xdr:rowOff>0</xdr:rowOff>
    </xdr:to>
    <xdr:sp>
      <xdr:nvSpPr>
        <xdr:cNvPr id="38" name="Line 38"/>
        <xdr:cNvSpPr>
          <a:spLocks/>
        </xdr:cNvSpPr>
      </xdr:nvSpPr>
      <xdr:spPr>
        <a:xfrm>
          <a:off x="6496050" y="571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542925</xdr:colOff>
      <xdr:row>4</xdr:row>
      <xdr:rowOff>161925</xdr:rowOff>
    </xdr:from>
    <xdr:to>
      <xdr:col>7</xdr:col>
      <xdr:colOff>542925</xdr:colOff>
      <xdr:row>5</xdr:row>
      <xdr:rowOff>161925</xdr:rowOff>
    </xdr:to>
    <xdr:sp>
      <xdr:nvSpPr>
        <xdr:cNvPr id="39" name="Line 39"/>
        <xdr:cNvSpPr>
          <a:spLocks/>
        </xdr:cNvSpPr>
      </xdr:nvSpPr>
      <xdr:spPr>
        <a:xfrm>
          <a:off x="6467475" y="9334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9525</xdr:colOff>
      <xdr:row>41</xdr:row>
      <xdr:rowOff>76200</xdr:rowOff>
    </xdr:from>
    <xdr:to>
      <xdr:col>6</xdr:col>
      <xdr:colOff>381000</xdr:colOff>
      <xdr:row>41</xdr:row>
      <xdr:rowOff>85725</xdr:rowOff>
    </xdr:to>
    <xdr:sp>
      <xdr:nvSpPr>
        <xdr:cNvPr id="40" name="Line 40"/>
        <xdr:cNvSpPr>
          <a:spLocks/>
        </xdr:cNvSpPr>
      </xdr:nvSpPr>
      <xdr:spPr>
        <a:xfrm flipH="1">
          <a:off x="3609975" y="7200900"/>
          <a:ext cx="1914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419100</xdr:colOff>
      <xdr:row>41</xdr:row>
      <xdr:rowOff>104775</xdr:rowOff>
    </xdr:from>
    <xdr:to>
      <xdr:col>13</xdr:col>
      <xdr:colOff>0</xdr:colOff>
      <xdr:row>41</xdr:row>
      <xdr:rowOff>104775</xdr:rowOff>
    </xdr:to>
    <xdr:sp>
      <xdr:nvSpPr>
        <xdr:cNvPr id="41" name="Line 41"/>
        <xdr:cNvSpPr>
          <a:spLocks/>
        </xdr:cNvSpPr>
      </xdr:nvSpPr>
      <xdr:spPr>
        <a:xfrm>
          <a:off x="7772400" y="7229475"/>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9525</xdr:colOff>
      <xdr:row>41</xdr:row>
      <xdr:rowOff>114300</xdr:rowOff>
    </xdr:from>
    <xdr:to>
      <xdr:col>15</xdr:col>
      <xdr:colOff>323850</xdr:colOff>
      <xdr:row>41</xdr:row>
      <xdr:rowOff>114300</xdr:rowOff>
    </xdr:to>
    <xdr:sp>
      <xdr:nvSpPr>
        <xdr:cNvPr id="42" name="Line 42"/>
        <xdr:cNvSpPr>
          <a:spLocks/>
        </xdr:cNvSpPr>
      </xdr:nvSpPr>
      <xdr:spPr>
        <a:xfrm flipH="1">
          <a:off x="11125200" y="72390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1285875</xdr:colOff>
      <xdr:row>15</xdr:row>
      <xdr:rowOff>85725</xdr:rowOff>
    </xdr:from>
    <xdr:to>
      <xdr:col>3</xdr:col>
      <xdr:colOff>0</xdr:colOff>
      <xdr:row>15</xdr:row>
      <xdr:rowOff>85725</xdr:rowOff>
    </xdr:to>
    <xdr:sp>
      <xdr:nvSpPr>
        <xdr:cNvPr id="43" name="Line 43"/>
        <xdr:cNvSpPr>
          <a:spLocks/>
        </xdr:cNvSpPr>
      </xdr:nvSpPr>
      <xdr:spPr>
        <a:xfrm flipH="1" flipV="1">
          <a:off x="2190750" y="2752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41</xdr:row>
      <xdr:rowOff>66675</xdr:rowOff>
    </xdr:from>
    <xdr:to>
      <xdr:col>2</xdr:col>
      <xdr:colOff>9525</xdr:colOff>
      <xdr:row>41</xdr:row>
      <xdr:rowOff>76200</xdr:rowOff>
    </xdr:to>
    <xdr:sp>
      <xdr:nvSpPr>
        <xdr:cNvPr id="44" name="Line 44"/>
        <xdr:cNvSpPr>
          <a:spLocks/>
        </xdr:cNvSpPr>
      </xdr:nvSpPr>
      <xdr:spPr>
        <a:xfrm>
          <a:off x="285750" y="7191375"/>
          <a:ext cx="1933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123825</xdr:rowOff>
    </xdr:from>
    <xdr:to>
      <xdr:col>4</xdr:col>
      <xdr:colOff>1085850</xdr:colOff>
      <xdr:row>22</xdr:row>
      <xdr:rowOff>47625</xdr:rowOff>
    </xdr:to>
    <xdr:graphicFrame>
      <xdr:nvGraphicFramePr>
        <xdr:cNvPr id="1" name="Chart 2"/>
        <xdr:cNvGraphicFramePr/>
      </xdr:nvGraphicFramePr>
      <xdr:xfrm>
        <a:off x="9525" y="1905000"/>
        <a:ext cx="6267450" cy="2200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4</xdr:col>
      <xdr:colOff>1019175</xdr:colOff>
      <xdr:row>45</xdr:row>
      <xdr:rowOff>57150</xdr:rowOff>
    </xdr:to>
    <xdr:graphicFrame>
      <xdr:nvGraphicFramePr>
        <xdr:cNvPr id="2" name="Chart 4"/>
        <xdr:cNvGraphicFramePr/>
      </xdr:nvGraphicFramePr>
      <xdr:xfrm>
        <a:off x="0" y="7029450"/>
        <a:ext cx="6210300" cy="1885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0</xdr:colOff>
      <xdr:row>19</xdr:row>
      <xdr:rowOff>0</xdr:rowOff>
    </xdr:to>
    <xdr:graphicFrame>
      <xdr:nvGraphicFramePr>
        <xdr:cNvPr id="1" name="Chart 2"/>
        <xdr:cNvGraphicFramePr/>
      </xdr:nvGraphicFramePr>
      <xdr:xfrm>
        <a:off x="0" y="3895725"/>
        <a:ext cx="6381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4</xdr:col>
      <xdr:colOff>1057275</xdr:colOff>
      <xdr:row>28</xdr:row>
      <xdr:rowOff>76200</xdr:rowOff>
    </xdr:to>
    <xdr:graphicFrame>
      <xdr:nvGraphicFramePr>
        <xdr:cNvPr id="2" name="Chart 3"/>
        <xdr:cNvGraphicFramePr/>
      </xdr:nvGraphicFramePr>
      <xdr:xfrm>
        <a:off x="0" y="2438400"/>
        <a:ext cx="6238875" cy="2990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4</xdr:col>
      <xdr:colOff>1000125</xdr:colOff>
      <xdr:row>48</xdr:row>
      <xdr:rowOff>57150</xdr:rowOff>
    </xdr:to>
    <xdr:graphicFrame>
      <xdr:nvGraphicFramePr>
        <xdr:cNvPr id="3" name="Chart 4"/>
        <xdr:cNvGraphicFramePr/>
      </xdr:nvGraphicFramePr>
      <xdr:xfrm>
        <a:off x="0" y="5676900"/>
        <a:ext cx="6181725" cy="29718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0</xdr:colOff>
      <xdr:row>16</xdr:row>
      <xdr:rowOff>0</xdr:rowOff>
    </xdr:to>
    <xdr:graphicFrame>
      <xdr:nvGraphicFramePr>
        <xdr:cNvPr id="1" name="Chart 2"/>
        <xdr:cNvGraphicFramePr/>
      </xdr:nvGraphicFramePr>
      <xdr:xfrm>
        <a:off x="0" y="4391025"/>
        <a:ext cx="63817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85725</xdr:rowOff>
    </xdr:from>
    <xdr:to>
      <xdr:col>4</xdr:col>
      <xdr:colOff>1095375</xdr:colOff>
      <xdr:row>42</xdr:row>
      <xdr:rowOff>104775</xdr:rowOff>
    </xdr:to>
    <xdr:graphicFrame>
      <xdr:nvGraphicFramePr>
        <xdr:cNvPr id="2" name="Chart 3"/>
        <xdr:cNvGraphicFramePr/>
      </xdr:nvGraphicFramePr>
      <xdr:xfrm>
        <a:off x="0" y="3343275"/>
        <a:ext cx="6276975" cy="5362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8</xdr:col>
      <xdr:colOff>1495425</xdr:colOff>
      <xdr:row>41</xdr:row>
      <xdr:rowOff>38100</xdr:rowOff>
    </xdr:to>
    <xdr:graphicFrame>
      <xdr:nvGraphicFramePr>
        <xdr:cNvPr id="1" name="Chart 4"/>
        <xdr:cNvGraphicFramePr/>
      </xdr:nvGraphicFramePr>
      <xdr:xfrm>
        <a:off x="0" y="4819650"/>
        <a:ext cx="10039350" cy="2228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95250</xdr:rowOff>
    </xdr:from>
    <xdr:to>
      <xdr:col>6</xdr:col>
      <xdr:colOff>828675</xdr:colOff>
      <xdr:row>37</xdr:row>
      <xdr:rowOff>66675</xdr:rowOff>
    </xdr:to>
    <xdr:graphicFrame>
      <xdr:nvGraphicFramePr>
        <xdr:cNvPr id="1" name="Chart 2"/>
        <xdr:cNvGraphicFramePr/>
      </xdr:nvGraphicFramePr>
      <xdr:xfrm>
        <a:off x="47625" y="5514975"/>
        <a:ext cx="661035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619125</xdr:rowOff>
    </xdr:from>
    <xdr:to>
      <xdr:col>7</xdr:col>
      <xdr:colOff>904875</xdr:colOff>
      <xdr:row>43</xdr:row>
      <xdr:rowOff>76200</xdr:rowOff>
    </xdr:to>
    <xdr:graphicFrame>
      <xdr:nvGraphicFramePr>
        <xdr:cNvPr id="1" name="Chart 4"/>
        <xdr:cNvGraphicFramePr/>
      </xdr:nvGraphicFramePr>
      <xdr:xfrm>
        <a:off x="28575" y="6096000"/>
        <a:ext cx="6810375" cy="3638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6</xdr:col>
      <xdr:colOff>1028700</xdr:colOff>
      <xdr:row>42</xdr:row>
      <xdr:rowOff>142875</xdr:rowOff>
    </xdr:to>
    <xdr:graphicFrame>
      <xdr:nvGraphicFramePr>
        <xdr:cNvPr id="1" name="Chart 2"/>
        <xdr:cNvGraphicFramePr/>
      </xdr:nvGraphicFramePr>
      <xdr:xfrm>
        <a:off x="9525" y="5276850"/>
        <a:ext cx="7153275" cy="4514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4%20,%202005%20ve%202006%20%20slaytlar&#305;\Ayl&#305;k%20b&#252;lten%20mar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20&#199;al&#305;&#351;malar&#305;\&#350;UBAT%202006%20&#304;STAT&#304;ST&#304;K&#304;%20B&#220;L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s>
    <sheetDataSet>
      <sheetData sheetId="9">
        <row r="4">
          <cell r="B4" t="str">
            <v>SSK (*)</v>
          </cell>
          <cell r="C4" t="str">
            <v>BAĞ - KUR</v>
          </cell>
          <cell r="D4" t="str">
            <v> EMEKLİ SANDIĞI</v>
          </cell>
        </row>
        <row r="5">
          <cell r="A5">
            <v>1999</v>
          </cell>
          <cell r="B5">
            <v>1111000</v>
          </cell>
          <cell r="C5">
            <v>796145</v>
          </cell>
          <cell r="D5">
            <v>1035000</v>
          </cell>
        </row>
        <row r="6">
          <cell r="A6">
            <v>2000</v>
          </cell>
          <cell r="B6">
            <v>400000</v>
          </cell>
          <cell r="C6">
            <v>1051460</v>
          </cell>
          <cell r="D6">
            <v>1775000</v>
          </cell>
        </row>
        <row r="7">
          <cell r="A7">
            <v>2001</v>
          </cell>
          <cell r="B7">
            <v>1108000</v>
          </cell>
          <cell r="C7">
            <v>1740000</v>
          </cell>
          <cell r="D7">
            <v>2675000</v>
          </cell>
        </row>
        <row r="8">
          <cell r="A8">
            <v>2002</v>
          </cell>
          <cell r="B8">
            <v>2386000</v>
          </cell>
          <cell r="C8">
            <v>2622000</v>
          </cell>
          <cell r="D8">
            <v>4676000</v>
          </cell>
        </row>
        <row r="9">
          <cell r="A9">
            <v>2003</v>
          </cell>
          <cell r="B9">
            <v>4808617</v>
          </cell>
          <cell r="C9">
            <v>4930000</v>
          </cell>
          <cell r="D9">
            <v>6145000</v>
          </cell>
        </row>
        <row r="10">
          <cell r="A10">
            <v>2004</v>
          </cell>
          <cell r="B10">
            <v>5757000</v>
          </cell>
          <cell r="C10">
            <v>5273000</v>
          </cell>
          <cell r="D10">
            <v>7800000</v>
          </cell>
        </row>
        <row r="11">
          <cell r="A11" t="str">
            <v>2005(**)</v>
          </cell>
          <cell r="B11">
            <v>6593000</v>
          </cell>
          <cell r="C11">
            <v>6926000</v>
          </cell>
          <cell r="D11">
            <v>8889300</v>
          </cell>
        </row>
      </sheetData>
      <sheetData sheetId="14">
        <row r="34">
          <cell r="B34">
            <v>1960</v>
          </cell>
          <cell r="C34">
            <v>1965</v>
          </cell>
          <cell r="D34">
            <v>1970</v>
          </cell>
          <cell r="E34">
            <v>1975</v>
          </cell>
          <cell r="F34">
            <v>1980</v>
          </cell>
          <cell r="G34">
            <v>1985</v>
          </cell>
          <cell r="H34">
            <v>1990</v>
          </cell>
          <cell r="I34">
            <v>1995</v>
          </cell>
          <cell r="J34">
            <v>1999</v>
          </cell>
          <cell r="K34">
            <v>2000</v>
          </cell>
          <cell r="L34">
            <v>2001</v>
          </cell>
          <cell r="M34">
            <v>2002</v>
          </cell>
          <cell r="N34">
            <v>2003</v>
          </cell>
          <cell r="O34">
            <v>2004</v>
          </cell>
          <cell r="P34">
            <v>2005</v>
          </cell>
        </row>
        <row r="35">
          <cell r="B35">
            <v>24.3</v>
          </cell>
          <cell r="C35">
            <v>16.88</v>
          </cell>
          <cell r="D35">
            <v>9.03</v>
          </cell>
          <cell r="E35">
            <v>6.29</v>
          </cell>
          <cell r="F35">
            <v>3.47</v>
          </cell>
          <cell r="G35">
            <v>2.45</v>
          </cell>
          <cell r="H35">
            <v>2.39</v>
          </cell>
          <cell r="I35">
            <v>2.44</v>
          </cell>
          <cell r="J35">
            <v>2.02</v>
          </cell>
          <cell r="K35">
            <v>1.97</v>
          </cell>
          <cell r="L35">
            <v>1.72</v>
          </cell>
          <cell r="M35">
            <v>1.75</v>
          </cell>
          <cell r="N35">
            <v>1.72</v>
          </cell>
          <cell r="O35">
            <v>1.69</v>
          </cell>
          <cell r="P35">
            <v>1.75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ORG.ŞEMASI-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s>
    <sheetDataSet>
      <sheetData sheetId="20">
        <row r="12">
          <cell r="H12">
            <v>3594350.1</v>
          </cell>
        </row>
        <row r="13">
          <cell r="H13">
            <v>4981193.7</v>
          </cell>
        </row>
        <row r="14">
          <cell r="H14">
            <v>6635691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showGridLines="0" workbookViewId="0" topLeftCell="A37">
      <selection activeCell="A22" sqref="A22"/>
    </sheetView>
  </sheetViews>
  <sheetFormatPr defaultColWidth="9.00390625" defaultRowHeight="12.75"/>
  <sheetData>
    <row r="1" spans="1:9" ht="23.25" thickTop="1">
      <c r="A1" s="502" t="s">
        <v>2</v>
      </c>
      <c r="B1" s="503"/>
      <c r="C1" s="503"/>
      <c r="D1" s="503"/>
      <c r="E1" s="503"/>
      <c r="F1" s="503"/>
      <c r="G1" s="503"/>
      <c r="H1" s="503"/>
      <c r="I1" s="504"/>
    </row>
    <row r="2" spans="1:9" ht="22.5">
      <c r="A2" s="505" t="s">
        <v>3</v>
      </c>
      <c r="B2" s="506"/>
      <c r="C2" s="506"/>
      <c r="D2" s="506"/>
      <c r="E2" s="506"/>
      <c r="F2" s="506"/>
      <c r="G2" s="506"/>
      <c r="H2" s="506"/>
      <c r="I2" s="507"/>
    </row>
    <row r="3" spans="1:9" ht="20.25">
      <c r="A3" s="508" t="s">
        <v>4</v>
      </c>
      <c r="B3" s="509"/>
      <c r="C3" s="509"/>
      <c r="D3" s="509"/>
      <c r="E3" s="509"/>
      <c r="F3" s="509"/>
      <c r="G3" s="509"/>
      <c r="H3" s="509"/>
      <c r="I3" s="510"/>
    </row>
    <row r="4" spans="1:9" ht="20.25">
      <c r="A4" s="508" t="s">
        <v>460</v>
      </c>
      <c r="B4" s="509"/>
      <c r="C4" s="509"/>
      <c r="D4" s="509"/>
      <c r="E4" s="509"/>
      <c r="F4" s="509"/>
      <c r="G4" s="509"/>
      <c r="H4" s="509"/>
      <c r="I4" s="510"/>
    </row>
    <row r="5" spans="1:9" ht="12.75">
      <c r="A5" s="377"/>
      <c r="B5" s="378"/>
      <c r="C5" s="378"/>
      <c r="D5" s="378"/>
      <c r="E5" s="378"/>
      <c r="F5" s="378"/>
      <c r="G5" s="378"/>
      <c r="H5" s="378"/>
      <c r="I5" s="379"/>
    </row>
    <row r="6" spans="1:9" ht="12.75">
      <c r="A6" s="377"/>
      <c r="B6" s="378"/>
      <c r="C6" s="378"/>
      <c r="D6" s="378"/>
      <c r="E6" s="378"/>
      <c r="F6" s="378"/>
      <c r="G6" s="378"/>
      <c r="H6" s="378"/>
      <c r="I6" s="379"/>
    </row>
    <row r="7" spans="1:9" ht="12.75">
      <c r="A7" s="377"/>
      <c r="B7" s="378"/>
      <c r="C7" s="378"/>
      <c r="D7" s="378"/>
      <c r="E7" s="378"/>
      <c r="F7" s="378"/>
      <c r="G7" s="378"/>
      <c r="H7" s="378"/>
      <c r="I7" s="379"/>
    </row>
    <row r="8" spans="1:9" ht="12.75">
      <c r="A8" s="377"/>
      <c r="B8" s="378"/>
      <c r="C8" s="378"/>
      <c r="D8" s="378"/>
      <c r="E8" s="378"/>
      <c r="F8" s="378"/>
      <c r="G8" s="378"/>
      <c r="H8" s="378"/>
      <c r="I8" s="379"/>
    </row>
    <row r="9" spans="1:9" ht="12.75">
      <c r="A9" s="377"/>
      <c r="B9" s="378"/>
      <c r="C9" s="378"/>
      <c r="D9" s="378"/>
      <c r="E9" s="378"/>
      <c r="F9" s="378"/>
      <c r="G9" s="378"/>
      <c r="H9" s="378"/>
      <c r="I9" s="379"/>
    </row>
    <row r="10" spans="1:9" ht="12.75">
      <c r="A10" s="377"/>
      <c r="B10" s="378"/>
      <c r="C10" s="378"/>
      <c r="D10" s="378"/>
      <c r="E10" s="378"/>
      <c r="F10" s="378"/>
      <c r="G10" s="378"/>
      <c r="H10" s="378"/>
      <c r="I10" s="379"/>
    </row>
    <row r="11" spans="1:9" ht="12.75">
      <c r="A11" s="377"/>
      <c r="B11" s="378"/>
      <c r="C11" s="378"/>
      <c r="D11" s="378"/>
      <c r="E11" s="378"/>
      <c r="F11" s="378"/>
      <c r="G11" s="378"/>
      <c r="H11" s="378"/>
      <c r="I11" s="379"/>
    </row>
    <row r="12" spans="1:9" ht="12.75">
      <c r="A12" s="377"/>
      <c r="B12" s="378"/>
      <c r="C12" s="378"/>
      <c r="D12" s="378"/>
      <c r="E12" s="378"/>
      <c r="F12" s="378"/>
      <c r="G12" s="378"/>
      <c r="H12" s="378"/>
      <c r="I12" s="379"/>
    </row>
    <row r="13" spans="1:9" ht="12.75">
      <c r="A13" s="377"/>
      <c r="B13" s="378"/>
      <c r="C13" s="378"/>
      <c r="D13" s="378"/>
      <c r="E13" s="378"/>
      <c r="F13" s="378"/>
      <c r="G13" s="378"/>
      <c r="H13" s="378"/>
      <c r="I13" s="379"/>
    </row>
    <row r="14" spans="1:9" ht="12.75">
      <c r="A14" s="377"/>
      <c r="B14" s="378"/>
      <c r="C14" s="378"/>
      <c r="D14" s="378"/>
      <c r="E14" s="378"/>
      <c r="F14" s="378"/>
      <c r="G14" s="378"/>
      <c r="H14" s="378"/>
      <c r="I14" s="379"/>
    </row>
    <row r="15" spans="1:9" ht="12.75">
      <c r="A15" s="377"/>
      <c r="B15" s="378"/>
      <c r="C15" s="378"/>
      <c r="D15" s="378"/>
      <c r="E15" s="378"/>
      <c r="F15" s="378"/>
      <c r="G15" s="378"/>
      <c r="H15" s="378"/>
      <c r="I15" s="379"/>
    </row>
    <row r="16" spans="1:9" ht="12.75">
      <c r="A16" s="377"/>
      <c r="B16" s="378"/>
      <c r="C16" s="378"/>
      <c r="D16" s="378"/>
      <c r="E16" s="378"/>
      <c r="F16" s="378"/>
      <c r="G16" s="378"/>
      <c r="H16" s="378"/>
      <c r="I16" s="379"/>
    </row>
    <row r="17" spans="1:9" ht="12.75">
      <c r="A17" s="377"/>
      <c r="B17" s="378"/>
      <c r="C17" s="378"/>
      <c r="D17" s="378"/>
      <c r="E17" s="378"/>
      <c r="F17" s="378"/>
      <c r="G17" s="378"/>
      <c r="H17" s="378"/>
      <c r="I17" s="379"/>
    </row>
    <row r="18" spans="1:9" ht="12.75">
      <c r="A18" s="377"/>
      <c r="B18" s="378"/>
      <c r="C18" s="378"/>
      <c r="D18" s="378"/>
      <c r="E18" s="378"/>
      <c r="F18" s="378"/>
      <c r="G18" s="378"/>
      <c r="H18" s="378"/>
      <c r="I18" s="379"/>
    </row>
    <row r="19" spans="1:9" ht="12.75">
      <c r="A19" s="377"/>
      <c r="B19" s="378"/>
      <c r="C19" s="378"/>
      <c r="D19" s="378"/>
      <c r="E19" s="378"/>
      <c r="F19" s="378"/>
      <c r="G19" s="378"/>
      <c r="H19" s="378"/>
      <c r="I19" s="379"/>
    </row>
    <row r="20" spans="1:9" ht="19.5" customHeight="1">
      <c r="A20" s="377"/>
      <c r="B20" s="378"/>
      <c r="C20" s="378"/>
      <c r="D20" s="378"/>
      <c r="E20" s="378"/>
      <c r="F20" s="378"/>
      <c r="G20" s="378"/>
      <c r="H20" s="378"/>
      <c r="I20" s="379"/>
    </row>
    <row r="21" spans="1:9" ht="62.25" customHeight="1">
      <c r="A21" s="493" t="s">
        <v>675</v>
      </c>
      <c r="B21" s="494"/>
      <c r="C21" s="494"/>
      <c r="D21" s="494"/>
      <c r="E21" s="494"/>
      <c r="F21" s="494"/>
      <c r="G21" s="494"/>
      <c r="H21" s="494"/>
      <c r="I21" s="495"/>
    </row>
    <row r="22" spans="1:9" ht="12.75">
      <c r="A22" s="377"/>
      <c r="B22" s="378"/>
      <c r="C22" s="378"/>
      <c r="D22" s="378"/>
      <c r="E22" s="378"/>
      <c r="F22" s="378"/>
      <c r="G22" s="378"/>
      <c r="H22" s="378"/>
      <c r="I22" s="379"/>
    </row>
    <row r="23" spans="1:9" ht="22.5" customHeight="1">
      <c r="A23" s="493"/>
      <c r="B23" s="494"/>
      <c r="C23" s="494"/>
      <c r="D23" s="494"/>
      <c r="E23" s="494"/>
      <c r="F23" s="494"/>
      <c r="G23" s="494"/>
      <c r="H23" s="494"/>
      <c r="I23" s="495"/>
    </row>
    <row r="24" spans="1:9" ht="12.75">
      <c r="A24" s="377"/>
      <c r="B24" s="378"/>
      <c r="C24" s="378"/>
      <c r="D24" s="378"/>
      <c r="E24" s="378"/>
      <c r="F24" s="378"/>
      <c r="G24" s="378"/>
      <c r="H24" s="378"/>
      <c r="I24" s="379"/>
    </row>
    <row r="25" spans="1:9" ht="12.75">
      <c r="A25" s="377"/>
      <c r="B25" s="378"/>
      <c r="C25" s="378"/>
      <c r="D25" s="378"/>
      <c r="E25" s="378"/>
      <c r="F25" s="378"/>
      <c r="G25" s="378"/>
      <c r="H25" s="378"/>
      <c r="I25" s="379"/>
    </row>
    <row r="26" spans="1:9" ht="12.75">
      <c r="A26" s="377"/>
      <c r="B26" s="378"/>
      <c r="C26" s="378"/>
      <c r="D26" s="378"/>
      <c r="E26" s="378"/>
      <c r="F26" s="378"/>
      <c r="G26" s="378"/>
      <c r="H26" s="378"/>
      <c r="I26" s="379"/>
    </row>
    <row r="27" spans="1:9" ht="12.75">
      <c r="A27" s="377"/>
      <c r="B27" s="378"/>
      <c r="C27" s="378"/>
      <c r="D27" s="378"/>
      <c r="E27" s="378"/>
      <c r="F27" s="378"/>
      <c r="G27" s="378"/>
      <c r="H27" s="378"/>
      <c r="I27" s="379"/>
    </row>
    <row r="28" spans="1:9" ht="12.75">
      <c r="A28" s="377"/>
      <c r="B28" s="378"/>
      <c r="C28" s="378"/>
      <c r="D28" s="378"/>
      <c r="E28" s="378"/>
      <c r="F28" s="378"/>
      <c r="G28" s="378"/>
      <c r="H28" s="378"/>
      <c r="I28" s="379"/>
    </row>
    <row r="29" spans="1:9" ht="12.75">
      <c r="A29" s="377"/>
      <c r="B29" s="378"/>
      <c r="C29" s="378"/>
      <c r="D29" s="378"/>
      <c r="E29" s="378"/>
      <c r="F29" s="378"/>
      <c r="G29" s="378"/>
      <c r="H29" s="378"/>
      <c r="I29" s="379"/>
    </row>
    <row r="30" spans="1:9" ht="12.75">
      <c r="A30" s="377"/>
      <c r="B30" s="378"/>
      <c r="C30" s="378"/>
      <c r="D30" s="378"/>
      <c r="E30" s="378"/>
      <c r="F30" s="378"/>
      <c r="G30" s="378"/>
      <c r="H30" s="378"/>
      <c r="I30" s="379"/>
    </row>
    <row r="31" spans="1:9" ht="12.75">
      <c r="A31" s="377"/>
      <c r="B31" s="378"/>
      <c r="C31" s="378"/>
      <c r="D31" s="378"/>
      <c r="E31" s="378"/>
      <c r="F31" s="378"/>
      <c r="G31" s="378"/>
      <c r="H31" s="378"/>
      <c r="I31" s="379"/>
    </row>
    <row r="32" spans="1:9" ht="12.75">
      <c r="A32" s="377"/>
      <c r="B32" s="378"/>
      <c r="C32" s="378"/>
      <c r="D32" s="378"/>
      <c r="E32" s="378"/>
      <c r="F32" s="378"/>
      <c r="G32" s="378"/>
      <c r="H32" s="378"/>
      <c r="I32" s="379"/>
    </row>
    <row r="33" spans="1:9" ht="12.75">
      <c r="A33" s="377"/>
      <c r="B33" s="378"/>
      <c r="C33" s="378"/>
      <c r="D33" s="378"/>
      <c r="E33" s="378"/>
      <c r="F33" s="378"/>
      <c r="G33" s="378"/>
      <c r="H33" s="378"/>
      <c r="I33" s="379"/>
    </row>
    <row r="34" spans="1:9" ht="12.75">
      <c r="A34" s="377"/>
      <c r="B34" s="378"/>
      <c r="C34" s="378"/>
      <c r="D34" s="378"/>
      <c r="E34" s="378"/>
      <c r="F34" s="378"/>
      <c r="G34" s="378"/>
      <c r="H34" s="378"/>
      <c r="I34" s="379"/>
    </row>
    <row r="35" spans="1:9" ht="12.75">
      <c r="A35" s="377"/>
      <c r="B35" s="378"/>
      <c r="C35" s="378"/>
      <c r="D35" s="378"/>
      <c r="E35" s="378"/>
      <c r="F35" s="378"/>
      <c r="G35" s="378"/>
      <c r="H35" s="378"/>
      <c r="I35" s="379"/>
    </row>
    <row r="36" spans="1:9" ht="12.75">
      <c r="A36" s="377"/>
      <c r="B36" s="378"/>
      <c r="C36" s="378"/>
      <c r="D36" s="378"/>
      <c r="E36" s="378"/>
      <c r="F36" s="378"/>
      <c r="G36" s="378"/>
      <c r="H36" s="378"/>
      <c r="I36" s="379"/>
    </row>
    <row r="37" spans="1:9" ht="12.75">
      <c r="A37" s="377"/>
      <c r="B37" s="378"/>
      <c r="C37" s="378"/>
      <c r="D37" s="378"/>
      <c r="E37" s="378"/>
      <c r="F37" s="378"/>
      <c r="G37" s="378"/>
      <c r="H37" s="378"/>
      <c r="I37" s="379"/>
    </row>
    <row r="38" spans="1:9" ht="12.75">
      <c r="A38" s="377"/>
      <c r="B38" s="378"/>
      <c r="C38" s="378"/>
      <c r="D38" s="378"/>
      <c r="E38" s="378"/>
      <c r="F38" s="378"/>
      <c r="G38" s="378"/>
      <c r="H38" s="378"/>
      <c r="I38" s="379"/>
    </row>
    <row r="39" spans="1:9" ht="9" customHeight="1">
      <c r="A39" s="377"/>
      <c r="B39" s="378"/>
      <c r="C39" s="378"/>
      <c r="D39" s="378"/>
      <c r="E39" s="378"/>
      <c r="F39" s="378"/>
      <c r="G39" s="378"/>
      <c r="H39" s="378"/>
      <c r="I39" s="379"/>
    </row>
    <row r="40" spans="1:9" ht="1.5" customHeight="1" hidden="1">
      <c r="A40" s="377"/>
      <c r="B40" s="378"/>
      <c r="C40" s="378"/>
      <c r="D40" s="378"/>
      <c r="E40" s="378"/>
      <c r="F40" s="378"/>
      <c r="G40" s="378"/>
      <c r="H40" s="378"/>
      <c r="I40" s="379"/>
    </row>
    <row r="41" spans="1:9" ht="40.5" customHeight="1">
      <c r="A41" s="496" t="s">
        <v>5</v>
      </c>
      <c r="B41" s="497"/>
      <c r="C41" s="497"/>
      <c r="D41" s="497"/>
      <c r="E41" s="497"/>
      <c r="F41" s="497"/>
      <c r="G41" s="497"/>
      <c r="H41" s="497"/>
      <c r="I41" s="498"/>
    </row>
    <row r="42" spans="1:9" ht="12.75">
      <c r="A42" s="377"/>
      <c r="B42" s="378"/>
      <c r="C42" s="378"/>
      <c r="D42" s="378"/>
      <c r="E42" s="378"/>
      <c r="F42" s="378"/>
      <c r="G42" s="378"/>
      <c r="H42" s="378"/>
      <c r="I42" s="379"/>
    </row>
    <row r="43" spans="1:9" ht="12.75">
      <c r="A43" s="377"/>
      <c r="B43" s="378"/>
      <c r="C43" s="378"/>
      <c r="D43" s="378"/>
      <c r="E43" s="378"/>
      <c r="F43" s="378"/>
      <c r="G43" s="378"/>
      <c r="H43" s="378"/>
      <c r="I43" s="379"/>
    </row>
    <row r="44" spans="1:9" ht="12.75">
      <c r="A44" s="377"/>
      <c r="B44" s="378"/>
      <c r="C44" s="378"/>
      <c r="D44" s="378"/>
      <c r="E44" s="378"/>
      <c r="F44" s="378"/>
      <c r="G44" s="378"/>
      <c r="H44" s="378"/>
      <c r="I44" s="379"/>
    </row>
    <row r="45" spans="1:9" ht="30.75" customHeight="1" thickBot="1">
      <c r="A45" s="499" t="s">
        <v>6</v>
      </c>
      <c r="B45" s="500"/>
      <c r="C45" s="500"/>
      <c r="D45" s="500"/>
      <c r="E45" s="500"/>
      <c r="F45" s="500"/>
      <c r="G45" s="500"/>
      <c r="H45" s="500"/>
      <c r="I45" s="501"/>
    </row>
    <row r="46" spans="1:9" ht="30.75" customHeight="1" thickTop="1">
      <c r="A46" s="491"/>
      <c r="B46" s="492"/>
      <c r="C46" s="492"/>
      <c r="D46" s="492"/>
      <c r="E46" s="492"/>
      <c r="F46" s="492"/>
      <c r="G46" s="492"/>
      <c r="H46" s="492"/>
      <c r="I46" s="492"/>
    </row>
    <row r="47" spans="1:9" ht="30.75" customHeight="1">
      <c r="A47" s="491"/>
      <c r="B47" s="492"/>
      <c r="C47" s="492"/>
      <c r="D47" s="492"/>
      <c r="E47" s="492"/>
      <c r="F47" s="492"/>
      <c r="G47" s="492"/>
      <c r="H47" s="492"/>
      <c r="I47" s="492"/>
    </row>
  </sheetData>
  <mergeCells count="10">
    <mergeCell ref="A1:I1"/>
    <mergeCell ref="A2:I2"/>
    <mergeCell ref="A3:I3"/>
    <mergeCell ref="A21:I21"/>
    <mergeCell ref="A4:I4"/>
    <mergeCell ref="A47:I47"/>
    <mergeCell ref="A23:I23"/>
    <mergeCell ref="A41:I41"/>
    <mergeCell ref="A45:I45"/>
    <mergeCell ref="A46:I46"/>
  </mergeCells>
  <printOptions/>
  <pageMargins left="1.05" right="0.61" top="1" bottom="1" header="0.5" footer="0.5"/>
  <pageSetup horizontalDpi="300" verticalDpi="300" orientation="portrait" paperSize="9" r:id="rId4"/>
  <drawing r:id="rId3"/>
  <legacyDrawing r:id="rId2"/>
  <oleObjects>
    <oleObject progId="PBrush" shapeId="1591588" r:id="rId1"/>
  </oleObjects>
</worksheet>
</file>

<file path=xl/worksheets/sheet10.xml><?xml version="1.0" encoding="utf-8"?>
<worksheet xmlns="http://schemas.openxmlformats.org/spreadsheetml/2006/main" xmlns:r="http://schemas.openxmlformats.org/officeDocument/2006/relationships">
  <sheetPr>
    <tabColor indexed="12"/>
  </sheetPr>
  <dimension ref="A1:P20"/>
  <sheetViews>
    <sheetView showGridLines="0" workbookViewId="0" topLeftCell="A25">
      <selection activeCell="H23" sqref="H23"/>
    </sheetView>
  </sheetViews>
  <sheetFormatPr defaultColWidth="9.00390625" defaultRowHeight="12.75"/>
  <cols>
    <col min="1" max="1" width="9.125" style="1" customWidth="1"/>
    <col min="2" max="2" width="12.375" style="1" customWidth="1"/>
    <col min="3" max="3" width="12.375" style="1" bestFit="1" customWidth="1"/>
    <col min="4" max="4" width="15.75390625" style="1" customWidth="1"/>
    <col min="5" max="5" width="13.125" style="1" customWidth="1"/>
    <col min="6" max="6" width="13.75390625" style="1" customWidth="1"/>
    <col min="7" max="7" width="11.125" style="1" customWidth="1"/>
    <col min="8" max="9" width="9.125" style="1" customWidth="1"/>
    <col min="10" max="10" width="12.125" style="7" customWidth="1"/>
    <col min="11" max="11" width="11.125" style="7" bestFit="1" customWidth="1"/>
    <col min="12" max="16384" width="9.125" style="1" customWidth="1"/>
  </cols>
  <sheetData>
    <row r="1" spans="1:7" ht="33" customHeight="1">
      <c r="A1" s="578" t="s">
        <v>433</v>
      </c>
      <c r="B1" s="565"/>
      <c r="C1" s="565"/>
      <c r="D1" s="565"/>
      <c r="E1" s="565"/>
      <c r="F1" s="565"/>
      <c r="G1" s="565"/>
    </row>
    <row r="2" spans="1:7" ht="28.5" customHeight="1">
      <c r="A2" s="579" t="s">
        <v>73</v>
      </c>
      <c r="B2" s="580"/>
      <c r="C2" s="580"/>
      <c r="D2" s="580"/>
      <c r="E2" s="580"/>
      <c r="F2" s="580"/>
      <c r="G2" s="580"/>
    </row>
    <row r="3" spans="1:10" ht="26.25" customHeight="1" thickBot="1">
      <c r="A3" s="12" t="s">
        <v>74</v>
      </c>
      <c r="B3" s="8"/>
      <c r="C3" s="8"/>
      <c r="D3" s="8"/>
      <c r="E3" s="8"/>
      <c r="J3" s="7" t="s">
        <v>70</v>
      </c>
    </row>
    <row r="4" spans="1:12" ht="55.5" customHeight="1" thickTop="1">
      <c r="A4" s="140" t="s">
        <v>63</v>
      </c>
      <c r="B4" s="141" t="s">
        <v>66</v>
      </c>
      <c r="C4" s="141" t="s">
        <v>64</v>
      </c>
      <c r="D4" s="141" t="s">
        <v>65</v>
      </c>
      <c r="E4" s="141" t="s">
        <v>29</v>
      </c>
      <c r="F4" s="142" t="s">
        <v>67</v>
      </c>
      <c r="G4" s="143" t="s">
        <v>68</v>
      </c>
      <c r="J4" s="9" t="s">
        <v>71</v>
      </c>
      <c r="K4" s="7" t="s">
        <v>69</v>
      </c>
      <c r="L4" s="10"/>
    </row>
    <row r="5" spans="1:12" ht="21.75" customHeight="1">
      <c r="A5" s="144">
        <v>1999</v>
      </c>
      <c r="B5" s="145">
        <v>1111000</v>
      </c>
      <c r="C5" s="145">
        <v>796145</v>
      </c>
      <c r="D5" s="145">
        <v>1035000</v>
      </c>
      <c r="E5" s="146">
        <f aca="true" t="shared" si="0" ref="E5:E10">SUM(B5:D5)</f>
        <v>2942145</v>
      </c>
      <c r="F5" s="147">
        <f aca="true" t="shared" si="1" ref="F5:F11">+(E5/J5)*100</f>
        <v>10.47597649751101</v>
      </c>
      <c r="G5" s="148">
        <f aca="true" t="shared" si="2" ref="G5:G10">+(E5/K5)*100</f>
        <v>3.7583463079522774</v>
      </c>
      <c r="J5" s="7">
        <v>28084685</v>
      </c>
      <c r="K5" s="7">
        <v>78282967</v>
      </c>
      <c r="L5" s="10"/>
    </row>
    <row r="6" spans="1:12" ht="21.75" customHeight="1">
      <c r="A6" s="144">
        <f>+A5+1</f>
        <v>2000</v>
      </c>
      <c r="B6" s="145">
        <v>400000</v>
      </c>
      <c r="C6" s="145">
        <v>1051460</v>
      </c>
      <c r="D6" s="145">
        <v>1775000</v>
      </c>
      <c r="E6" s="146">
        <f t="shared" si="0"/>
        <v>3226460</v>
      </c>
      <c r="F6" s="147">
        <f t="shared" si="1"/>
        <v>6.908164148836395</v>
      </c>
      <c r="G6" s="148">
        <f t="shared" si="2"/>
        <v>2.5689167537958117</v>
      </c>
      <c r="J6" s="7">
        <v>46705028</v>
      </c>
      <c r="K6" s="7">
        <v>125596129</v>
      </c>
      <c r="L6" s="10"/>
    </row>
    <row r="7" spans="1:12" ht="21.75" customHeight="1">
      <c r="A7" s="144">
        <f>+A6+1</f>
        <v>2001</v>
      </c>
      <c r="B7" s="145">
        <v>1108000</v>
      </c>
      <c r="C7" s="145">
        <v>1740000</v>
      </c>
      <c r="D7" s="145">
        <v>2675000</v>
      </c>
      <c r="E7" s="146">
        <f t="shared" si="0"/>
        <v>5523000</v>
      </c>
      <c r="F7" s="147">
        <f t="shared" si="1"/>
        <v>6.854137610060381</v>
      </c>
      <c r="G7" s="148">
        <f t="shared" si="2"/>
        <v>3.1294629942927448</v>
      </c>
      <c r="J7" s="7">
        <v>80579065</v>
      </c>
      <c r="K7" s="7">
        <v>176483953</v>
      </c>
      <c r="L7" s="10"/>
    </row>
    <row r="8" spans="1:12" ht="21.75" customHeight="1">
      <c r="A8" s="144">
        <f>+A7+1</f>
        <v>2002</v>
      </c>
      <c r="B8" s="145">
        <v>2386000</v>
      </c>
      <c r="C8" s="145">
        <v>2622000</v>
      </c>
      <c r="D8" s="145">
        <v>4676000</v>
      </c>
      <c r="E8" s="146">
        <f t="shared" si="0"/>
        <v>9684000</v>
      </c>
      <c r="F8" s="147">
        <f t="shared" si="1"/>
        <v>8.371199236530034</v>
      </c>
      <c r="G8" s="148">
        <f t="shared" si="2"/>
        <v>3.5210401382359486</v>
      </c>
      <c r="J8" s="7">
        <v>115682350</v>
      </c>
      <c r="K8" s="7">
        <v>275032366</v>
      </c>
      <c r="L8" s="10"/>
    </row>
    <row r="9" spans="1:12" ht="17.25" customHeight="1">
      <c r="A9" s="144">
        <f>+A8+1</f>
        <v>2003</v>
      </c>
      <c r="B9" s="145">
        <v>4808617</v>
      </c>
      <c r="C9" s="145">
        <v>4930000</v>
      </c>
      <c r="D9" s="145">
        <v>6145000</v>
      </c>
      <c r="E9" s="146">
        <f t="shared" si="0"/>
        <v>15883617</v>
      </c>
      <c r="F9" s="147">
        <f t="shared" si="1"/>
        <v>11.341067841548895</v>
      </c>
      <c r="G9" s="148">
        <f t="shared" si="2"/>
        <v>4.4531729998384435</v>
      </c>
      <c r="J9" s="7">
        <v>140053981</v>
      </c>
      <c r="K9" s="7">
        <v>356680888</v>
      </c>
      <c r="L9" s="10"/>
    </row>
    <row r="10" spans="1:12" ht="17.25" customHeight="1">
      <c r="A10" s="144">
        <v>2004</v>
      </c>
      <c r="B10" s="145">
        <v>5757000</v>
      </c>
      <c r="C10" s="145">
        <v>5273000</v>
      </c>
      <c r="D10" s="145">
        <v>7800000</v>
      </c>
      <c r="E10" s="146">
        <f t="shared" si="0"/>
        <v>18830000</v>
      </c>
      <c r="F10" s="147">
        <f t="shared" si="1"/>
        <v>12.374323889088993</v>
      </c>
      <c r="G10" s="148">
        <f t="shared" si="2"/>
        <v>4.389973235850904</v>
      </c>
      <c r="J10" s="7">
        <v>152169930</v>
      </c>
      <c r="K10" s="7">
        <v>428932000</v>
      </c>
      <c r="L10" s="10"/>
    </row>
    <row r="11" spans="1:12" ht="17.25" customHeight="1" thickBot="1">
      <c r="A11" s="149" t="s">
        <v>72</v>
      </c>
      <c r="B11" s="150">
        <v>7507267</v>
      </c>
      <c r="C11" s="150">
        <v>6926000</v>
      </c>
      <c r="D11" s="150">
        <v>8889300</v>
      </c>
      <c r="E11" s="151">
        <f>SUM(B11:D11)</f>
        <v>23322567</v>
      </c>
      <c r="F11" s="152">
        <f t="shared" si="1"/>
        <v>14.735098781265993</v>
      </c>
      <c r="G11" s="153">
        <f>+(E11/K11)*100</f>
        <v>4.808201699590564</v>
      </c>
      <c r="J11" s="7">
        <v>158279000</v>
      </c>
      <c r="K11" s="7">
        <v>485058000</v>
      </c>
      <c r="L11" s="10"/>
    </row>
    <row r="12" spans="1:16" ht="104.25" customHeight="1" thickTop="1">
      <c r="A12" s="577" t="s">
        <v>449</v>
      </c>
      <c r="B12" s="577"/>
      <c r="C12" s="577"/>
      <c r="D12" s="577"/>
      <c r="E12" s="577"/>
      <c r="F12" s="577"/>
      <c r="G12" s="577"/>
      <c r="H12" s="97"/>
      <c r="I12" s="97"/>
      <c r="J12" s="371"/>
      <c r="K12" s="371" t="s">
        <v>53</v>
      </c>
      <c r="L12" s="97"/>
      <c r="M12" s="97"/>
      <c r="N12" s="97"/>
      <c r="O12" s="97"/>
      <c r="P12" s="97"/>
    </row>
    <row r="13" spans="1:9" ht="40.5" customHeight="1">
      <c r="A13" s="577" t="s">
        <v>457</v>
      </c>
      <c r="B13" s="577"/>
      <c r="C13" s="577"/>
      <c r="D13" s="577"/>
      <c r="E13" s="577"/>
      <c r="F13" s="577"/>
      <c r="G13" s="577"/>
      <c r="H13" s="577"/>
      <c r="I13" s="577"/>
    </row>
    <row r="14" spans="1:9" ht="10.5" customHeight="1">
      <c r="A14" s="11"/>
      <c r="B14" s="11"/>
      <c r="C14" s="11"/>
      <c r="D14" s="11"/>
      <c r="E14" s="11"/>
      <c r="H14" s="11"/>
      <c r="I14" s="11"/>
    </row>
    <row r="15" spans="1:9" ht="12.75">
      <c r="A15" s="11"/>
      <c r="B15" s="11"/>
      <c r="C15" s="11"/>
      <c r="D15" s="11"/>
      <c r="E15" s="11"/>
      <c r="H15" s="11"/>
      <c r="I15" s="11"/>
    </row>
    <row r="16" spans="1:9" ht="12.75">
      <c r="A16" s="11"/>
      <c r="B16" s="11"/>
      <c r="C16" s="11"/>
      <c r="D16" s="11"/>
      <c r="E16" s="11"/>
      <c r="H16" s="11"/>
      <c r="I16" s="11"/>
    </row>
    <row r="17" spans="1:9" ht="12.75">
      <c r="A17" s="11"/>
      <c r="B17" s="11"/>
      <c r="C17" s="11"/>
      <c r="D17" s="11"/>
      <c r="E17" s="11"/>
      <c r="H17" s="11"/>
      <c r="I17" s="11"/>
    </row>
    <row r="18" spans="1:9" ht="12.75">
      <c r="A18" s="11"/>
      <c r="B18" s="11"/>
      <c r="C18" s="11"/>
      <c r="D18" s="11"/>
      <c r="E18" s="11"/>
      <c r="H18" s="11"/>
      <c r="I18" s="11"/>
    </row>
    <row r="19" spans="1:9" ht="12.75">
      <c r="A19" s="11"/>
      <c r="B19" s="11"/>
      <c r="C19" s="11"/>
      <c r="D19" s="11"/>
      <c r="E19" s="11"/>
      <c r="H19" s="11"/>
      <c r="I19" s="11"/>
    </row>
    <row r="20" spans="1:9" ht="12.75">
      <c r="A20" s="11"/>
      <c r="B20" s="11"/>
      <c r="C20" s="11"/>
      <c r="D20" s="11"/>
      <c r="E20" s="11"/>
      <c r="H20" s="11"/>
      <c r="I20" s="11"/>
    </row>
  </sheetData>
  <mergeCells count="5">
    <mergeCell ref="H13:I13"/>
    <mergeCell ref="A1:G1"/>
    <mergeCell ref="A2:G2"/>
    <mergeCell ref="A12:G12"/>
    <mergeCell ref="A13:G13"/>
  </mergeCells>
  <printOptions/>
  <pageMargins left="0.75" right="0.75" top="0.58" bottom="0.51" header="0.5" footer="0.5"/>
  <pageSetup horizontalDpi="300" verticalDpi="300" orientation="portrait" paperSize="9" r:id="rId2"/>
  <headerFooter alignWithMargins="0">
    <oddFooter>&amp;C8</oddFooter>
  </headerFooter>
  <ignoredErrors>
    <ignoredError sqref="E5 E10" formulaRange="1"/>
  </ignoredErrors>
  <drawing r:id="rId1"/>
</worksheet>
</file>

<file path=xl/worksheets/sheet11.xml><?xml version="1.0" encoding="utf-8"?>
<worksheet xmlns="http://schemas.openxmlformats.org/spreadsheetml/2006/main" xmlns:r="http://schemas.openxmlformats.org/officeDocument/2006/relationships">
  <sheetPr>
    <tabColor indexed="12"/>
  </sheetPr>
  <dimension ref="A1:N21"/>
  <sheetViews>
    <sheetView showGridLines="0" workbookViewId="0" topLeftCell="A22">
      <selection activeCell="E5" sqref="E5:E6"/>
    </sheetView>
  </sheetViews>
  <sheetFormatPr defaultColWidth="9.00390625" defaultRowHeight="12.75"/>
  <cols>
    <col min="1" max="1" width="11.25390625" style="1" customWidth="1"/>
    <col min="2" max="2" width="11.00390625" style="1" customWidth="1"/>
    <col min="3" max="3" width="11.125" style="1" customWidth="1"/>
    <col min="4" max="4" width="9.875" style="1" customWidth="1"/>
    <col min="5" max="5" width="13.125" style="1" customWidth="1"/>
    <col min="6" max="6" width="8.75390625" style="1" customWidth="1"/>
    <col min="7" max="7" width="12.75390625" style="1" customWidth="1"/>
    <col min="8" max="8" width="12.00390625" style="1" customWidth="1"/>
    <col min="9" max="10" width="9.125" style="1" customWidth="1"/>
    <col min="11" max="11" width="12.375" style="1" customWidth="1"/>
    <col min="12" max="12" width="12.25390625" style="1" customWidth="1"/>
    <col min="13" max="13" width="14.00390625" style="1" customWidth="1"/>
    <col min="14" max="16384" width="9.125" style="1" customWidth="1"/>
  </cols>
  <sheetData>
    <row r="1" spans="1:8" s="4" customFormat="1" ht="20.25" customHeight="1">
      <c r="A1" s="581" t="s">
        <v>102</v>
      </c>
      <c r="B1" s="582"/>
      <c r="C1" s="582"/>
      <c r="D1" s="582"/>
      <c r="E1" s="582"/>
      <c r="F1" s="582"/>
      <c r="G1" s="582"/>
      <c r="H1" s="582"/>
    </row>
    <row r="2" spans="1:8" s="4" customFormat="1" ht="15">
      <c r="A2" s="583" t="s">
        <v>105</v>
      </c>
      <c r="B2" s="584"/>
      <c r="C2" s="584"/>
      <c r="D2" s="584"/>
      <c r="E2" s="584"/>
      <c r="F2" s="584"/>
      <c r="G2" s="584"/>
      <c r="H2" s="584"/>
    </row>
    <row r="3" spans="1:8" s="4" customFormat="1" ht="15">
      <c r="A3" s="13"/>
      <c r="B3" s="15"/>
      <c r="C3" s="15"/>
      <c r="D3" s="15"/>
      <c r="E3" s="15"/>
      <c r="F3" s="15"/>
      <c r="G3" s="15"/>
      <c r="H3" s="15"/>
    </row>
    <row r="4" spans="1:2" s="14" customFormat="1" ht="16.5" thickBot="1">
      <c r="A4" s="16" t="s">
        <v>113</v>
      </c>
      <c r="B4" s="16"/>
    </row>
    <row r="5" spans="1:14" ht="29.25" customHeight="1" thickTop="1">
      <c r="A5" s="154"/>
      <c r="B5" s="589" t="s">
        <v>108</v>
      </c>
      <c r="C5" s="590"/>
      <c r="D5" s="155"/>
      <c r="E5" s="568" t="s">
        <v>111</v>
      </c>
      <c r="F5" s="568" t="s">
        <v>96</v>
      </c>
      <c r="G5" s="591" t="s">
        <v>101</v>
      </c>
      <c r="H5" s="592"/>
      <c r="I5" s="10"/>
      <c r="J5" s="10"/>
      <c r="K5" s="10"/>
      <c r="L5" s="10"/>
      <c r="M5" s="10"/>
      <c r="N5" s="10"/>
    </row>
    <row r="6" spans="1:14" ht="61.5" customHeight="1">
      <c r="A6" s="156" t="s">
        <v>63</v>
      </c>
      <c r="B6" s="157" t="s">
        <v>99</v>
      </c>
      <c r="C6" s="157" t="s">
        <v>100</v>
      </c>
      <c r="D6" s="158" t="s">
        <v>110</v>
      </c>
      <c r="E6" s="588"/>
      <c r="F6" s="588"/>
      <c r="G6" s="159" t="s">
        <v>109</v>
      </c>
      <c r="H6" s="160" t="s">
        <v>98</v>
      </c>
      <c r="I6" s="10"/>
      <c r="J6" s="17"/>
      <c r="K6" s="18" t="s">
        <v>99</v>
      </c>
      <c r="L6" s="18" t="s">
        <v>100</v>
      </c>
      <c r="M6" s="18" t="s">
        <v>110</v>
      </c>
      <c r="N6" s="10"/>
    </row>
    <row r="7" spans="1:14" ht="18" customHeight="1">
      <c r="A7" s="161">
        <v>1993</v>
      </c>
      <c r="B7" s="162">
        <v>57.5</v>
      </c>
      <c r="C7" s="162">
        <v>42.8</v>
      </c>
      <c r="D7" s="163">
        <f>+(C7/B7)*100</f>
        <v>74.43478260869566</v>
      </c>
      <c r="E7" s="162">
        <v>42.4</v>
      </c>
      <c r="F7" s="163"/>
      <c r="G7" s="164" t="s">
        <v>97</v>
      </c>
      <c r="H7" s="165" t="s">
        <v>97</v>
      </c>
      <c r="I7" s="10"/>
      <c r="J7" s="19">
        <v>1993</v>
      </c>
      <c r="K7" s="20">
        <v>57.5</v>
      </c>
      <c r="L7" s="20">
        <v>42.8</v>
      </c>
      <c r="M7" s="21">
        <f>+(L7/K7)*100</f>
        <v>74.43478260869566</v>
      </c>
      <c r="N7" s="10"/>
    </row>
    <row r="8" spans="1:14" ht="18" customHeight="1">
      <c r="A8" s="161">
        <f aca="true" t="shared" si="0" ref="A8:A15">+A7+1</f>
        <v>1994</v>
      </c>
      <c r="B8" s="162">
        <v>84.1</v>
      </c>
      <c r="C8" s="162">
        <v>60.6</v>
      </c>
      <c r="D8" s="163">
        <f aca="true" t="shared" si="1" ref="D8:D16">+(C8/B8)*100</f>
        <v>72.05707491082046</v>
      </c>
      <c r="E8" s="162">
        <v>80.3</v>
      </c>
      <c r="F8" s="166">
        <f>+(E8/E7-1)*100</f>
        <v>89.38679245283019</v>
      </c>
      <c r="G8" s="167">
        <v>14480</v>
      </c>
      <c r="H8" s="168">
        <v>425.6</v>
      </c>
      <c r="I8" s="10"/>
      <c r="J8" s="19">
        <f aca="true" t="shared" si="2" ref="J8:J15">+J7+1</f>
        <v>1994</v>
      </c>
      <c r="K8" s="20">
        <v>84.1</v>
      </c>
      <c r="L8" s="20">
        <v>60.6</v>
      </c>
      <c r="M8" s="21">
        <f aca="true" t="shared" si="3" ref="M8:M16">+(L8/K8)*100</f>
        <v>72.05707491082046</v>
      </c>
      <c r="N8" s="10"/>
    </row>
    <row r="9" spans="1:14" ht="18" customHeight="1">
      <c r="A9" s="161">
        <f t="shared" si="0"/>
        <v>1995</v>
      </c>
      <c r="B9" s="162">
        <v>125.5</v>
      </c>
      <c r="C9" s="162">
        <v>102.1</v>
      </c>
      <c r="D9" s="163">
        <f t="shared" si="1"/>
        <v>81.35458167330677</v>
      </c>
      <c r="E9" s="162">
        <v>156.4</v>
      </c>
      <c r="F9" s="166">
        <f aca="true" t="shared" si="4" ref="F9:F16">+(E9/E8-1)*100</f>
        <v>94.76961394769616</v>
      </c>
      <c r="G9" s="167">
        <v>59200</v>
      </c>
      <c r="H9" s="168">
        <v>1194.1</v>
      </c>
      <c r="I9" s="10"/>
      <c r="J9" s="19">
        <f t="shared" si="2"/>
        <v>1995</v>
      </c>
      <c r="K9" s="20">
        <v>125.5</v>
      </c>
      <c r="L9" s="20">
        <v>102.1</v>
      </c>
      <c r="M9" s="21">
        <f t="shared" si="3"/>
        <v>81.35458167330677</v>
      </c>
      <c r="N9" s="10"/>
    </row>
    <row r="10" spans="1:14" ht="18" customHeight="1">
      <c r="A10" s="161">
        <f t="shared" si="0"/>
        <v>1996</v>
      </c>
      <c r="B10" s="162">
        <v>300.2</v>
      </c>
      <c r="C10" s="162">
        <v>256</v>
      </c>
      <c r="D10" s="163">
        <f t="shared" si="1"/>
        <v>85.27648234510326</v>
      </c>
      <c r="E10" s="162">
        <v>343.6</v>
      </c>
      <c r="F10" s="166">
        <f t="shared" si="4"/>
        <v>119.69309462915602</v>
      </c>
      <c r="G10" s="167">
        <v>69739</v>
      </c>
      <c r="H10" s="168">
        <v>862.6</v>
      </c>
      <c r="I10" s="10"/>
      <c r="J10" s="19">
        <f t="shared" si="2"/>
        <v>1996</v>
      </c>
      <c r="K10" s="20">
        <v>300.2</v>
      </c>
      <c r="L10" s="20">
        <v>256</v>
      </c>
      <c r="M10" s="21">
        <f t="shared" si="3"/>
        <v>85.27648234510326</v>
      </c>
      <c r="N10" s="10"/>
    </row>
    <row r="11" spans="1:14" ht="18" customHeight="1">
      <c r="A11" s="161">
        <f t="shared" si="0"/>
        <v>1997</v>
      </c>
      <c r="B11" s="162">
        <v>715.8</v>
      </c>
      <c r="C11" s="162">
        <v>611.6</v>
      </c>
      <c r="D11" s="163">
        <f t="shared" si="1"/>
        <v>85.44286113439509</v>
      </c>
      <c r="E11" s="162">
        <v>762.3</v>
      </c>
      <c r="F11" s="166">
        <f t="shared" si="4"/>
        <v>121.85681024447028</v>
      </c>
      <c r="G11" s="167">
        <v>336000</v>
      </c>
      <c r="H11" s="168">
        <v>2221.4</v>
      </c>
      <c r="I11" s="10"/>
      <c r="J11" s="19">
        <f t="shared" si="2"/>
        <v>1997</v>
      </c>
      <c r="K11" s="20">
        <v>715.8</v>
      </c>
      <c r="L11" s="20">
        <v>611.6</v>
      </c>
      <c r="M11" s="21">
        <f t="shared" si="3"/>
        <v>85.44286113439509</v>
      </c>
      <c r="N11" s="10"/>
    </row>
    <row r="12" spans="1:14" ht="18" customHeight="1">
      <c r="A12" s="161">
        <f t="shared" si="0"/>
        <v>1998</v>
      </c>
      <c r="B12" s="162">
        <v>1421.4</v>
      </c>
      <c r="C12" s="162">
        <v>1201.4</v>
      </c>
      <c r="D12" s="163">
        <f t="shared" si="1"/>
        <v>84.52230195581821</v>
      </c>
      <c r="E12" s="162">
        <v>1477.6</v>
      </c>
      <c r="F12" s="166">
        <f t="shared" si="4"/>
        <v>93.83444837990294</v>
      </c>
      <c r="G12" s="167">
        <v>447000</v>
      </c>
      <c r="H12" s="168">
        <v>1692.3</v>
      </c>
      <c r="I12" s="10"/>
      <c r="J12" s="19">
        <f t="shared" si="2"/>
        <v>1998</v>
      </c>
      <c r="K12" s="20">
        <v>1421.4</v>
      </c>
      <c r="L12" s="20">
        <v>1201.4</v>
      </c>
      <c r="M12" s="21">
        <f t="shared" si="3"/>
        <v>84.52230195581821</v>
      </c>
      <c r="N12" s="10"/>
    </row>
    <row r="13" spans="1:14" ht="18" customHeight="1">
      <c r="A13" s="161">
        <f t="shared" si="0"/>
        <v>1999</v>
      </c>
      <c r="B13" s="162">
        <v>2514.5</v>
      </c>
      <c r="C13" s="162">
        <v>1989.2</v>
      </c>
      <c r="D13" s="163">
        <f t="shared" si="1"/>
        <v>79.10916683237225</v>
      </c>
      <c r="E13" s="162">
        <v>2555.8</v>
      </c>
      <c r="F13" s="166">
        <f t="shared" si="4"/>
        <v>72.96968056307529</v>
      </c>
      <c r="G13" s="167">
        <v>1111000</v>
      </c>
      <c r="H13" s="168">
        <v>2662.1</v>
      </c>
      <c r="I13" s="10"/>
      <c r="J13" s="19">
        <f t="shared" si="2"/>
        <v>1999</v>
      </c>
      <c r="K13" s="20">
        <v>2514.5</v>
      </c>
      <c r="L13" s="20">
        <v>1989.2</v>
      </c>
      <c r="M13" s="21">
        <f t="shared" si="3"/>
        <v>79.10916683237225</v>
      </c>
      <c r="N13" s="10"/>
    </row>
    <row r="14" spans="1:14" ht="18" customHeight="1">
      <c r="A14" s="161">
        <f t="shared" si="0"/>
        <v>2000</v>
      </c>
      <c r="B14" s="162">
        <v>5002.9</v>
      </c>
      <c r="C14" s="162">
        <v>4221</v>
      </c>
      <c r="D14" s="163">
        <f t="shared" si="1"/>
        <v>84.3710647824262</v>
      </c>
      <c r="E14" s="162">
        <v>3574.6</v>
      </c>
      <c r="F14" s="166">
        <f t="shared" si="4"/>
        <v>39.862274043352365</v>
      </c>
      <c r="G14" s="167">
        <v>400000</v>
      </c>
      <c r="H14" s="168">
        <v>687.5</v>
      </c>
      <c r="I14" s="10"/>
      <c r="J14" s="19">
        <f t="shared" si="2"/>
        <v>2000</v>
      </c>
      <c r="K14" s="20">
        <v>5002.9</v>
      </c>
      <c r="L14" s="20">
        <v>4221</v>
      </c>
      <c r="M14" s="21">
        <f t="shared" si="3"/>
        <v>84.3710647824262</v>
      </c>
      <c r="N14" s="10"/>
    </row>
    <row r="15" spans="1:14" ht="18" customHeight="1">
      <c r="A15" s="161">
        <f t="shared" si="0"/>
        <v>2001</v>
      </c>
      <c r="B15" s="162">
        <v>7328.9</v>
      </c>
      <c r="C15" s="162">
        <v>5985.3</v>
      </c>
      <c r="D15" s="163">
        <f t="shared" si="1"/>
        <v>81.66709874606013</v>
      </c>
      <c r="E15" s="162">
        <v>5708.3</v>
      </c>
      <c r="F15" s="166">
        <f t="shared" si="4"/>
        <v>59.69059475186036</v>
      </c>
      <c r="G15" s="167">
        <v>1108000</v>
      </c>
      <c r="H15" s="168">
        <v>806</v>
      </c>
      <c r="I15" s="10"/>
      <c r="J15" s="19">
        <f t="shared" si="2"/>
        <v>2001</v>
      </c>
      <c r="K15" s="20">
        <v>7328.9</v>
      </c>
      <c r="L15" s="20">
        <v>5985.3</v>
      </c>
      <c r="M15" s="21">
        <f t="shared" si="3"/>
        <v>81.66709874606013</v>
      </c>
      <c r="N15" s="10"/>
    </row>
    <row r="16" spans="1:14" ht="18" customHeight="1">
      <c r="A16" s="161">
        <v>2002</v>
      </c>
      <c r="B16" s="162">
        <v>10869.9</v>
      </c>
      <c r="C16" s="162">
        <v>8941.2</v>
      </c>
      <c r="D16" s="163">
        <f t="shared" si="1"/>
        <v>82.25650649959982</v>
      </c>
      <c r="E16" s="162">
        <v>8953.9</v>
      </c>
      <c r="F16" s="166">
        <f t="shared" si="4"/>
        <v>56.85755829231118</v>
      </c>
      <c r="G16" s="167">
        <v>2386000</v>
      </c>
      <c r="H16" s="168">
        <v>1614</v>
      </c>
      <c r="I16" s="10"/>
      <c r="J16" s="19">
        <v>2002</v>
      </c>
      <c r="K16" s="20">
        <v>10869.9</v>
      </c>
      <c r="L16" s="20">
        <v>8941.2</v>
      </c>
      <c r="M16" s="21">
        <f t="shared" si="3"/>
        <v>82.25650649959982</v>
      </c>
      <c r="N16" s="10"/>
    </row>
    <row r="17" spans="1:14" ht="18" customHeight="1" hidden="1">
      <c r="A17" s="161">
        <v>2002</v>
      </c>
      <c r="B17" s="162">
        <v>10869.9</v>
      </c>
      <c r="C17" s="162">
        <v>8941.2</v>
      </c>
      <c r="D17" s="163">
        <f>+(C17/B17)*100</f>
        <v>82.25650649959982</v>
      </c>
      <c r="E17" s="162">
        <v>8954.9</v>
      </c>
      <c r="F17" s="166">
        <f>+(E17/E16-1)*100</f>
        <v>0.011168317716303555</v>
      </c>
      <c r="G17" s="167">
        <v>2386000</v>
      </c>
      <c r="H17" s="168">
        <v>1614</v>
      </c>
      <c r="I17" s="10"/>
      <c r="J17" s="19">
        <v>2002</v>
      </c>
      <c r="K17" s="20">
        <v>10869.9</v>
      </c>
      <c r="L17" s="20">
        <v>8941.2</v>
      </c>
      <c r="M17" s="21">
        <f>+(L17/K17)*100</f>
        <v>82.25650649959982</v>
      </c>
      <c r="N17" s="10"/>
    </row>
    <row r="18" spans="1:14" ht="18" customHeight="1">
      <c r="A18" s="161">
        <v>2003</v>
      </c>
      <c r="B18" s="162">
        <v>15536.8</v>
      </c>
      <c r="C18" s="162">
        <v>12745</v>
      </c>
      <c r="D18" s="163">
        <f>+(C18/B18)*100</f>
        <v>82.03104886463107</v>
      </c>
      <c r="E18" s="162">
        <v>11960.5</v>
      </c>
      <c r="F18" s="166">
        <f>+(E18/E17-1)*100</f>
        <v>33.563747222191196</v>
      </c>
      <c r="G18" s="167">
        <v>3157883.5</v>
      </c>
      <c r="H18" s="168">
        <v>1924.7</v>
      </c>
      <c r="I18" s="10"/>
      <c r="J18" s="19">
        <v>2003</v>
      </c>
      <c r="K18" s="20">
        <v>15536.8</v>
      </c>
      <c r="L18" s="20">
        <v>12745</v>
      </c>
      <c r="M18" s="21">
        <f>+(L18/K18)*100</f>
        <v>82.03104886463107</v>
      </c>
      <c r="N18" s="10"/>
    </row>
    <row r="19" spans="1:14" ht="18" customHeight="1" thickBot="1">
      <c r="A19" s="169">
        <v>2004</v>
      </c>
      <c r="B19" s="170">
        <v>21088.1</v>
      </c>
      <c r="C19" s="170">
        <v>16967.5</v>
      </c>
      <c r="D19" s="171">
        <f>+(C19/B19)*100</f>
        <v>80.46006989724063</v>
      </c>
      <c r="E19" s="170">
        <v>16555.7</v>
      </c>
      <c r="F19" s="172">
        <f>+(E19/E18-1)*100</f>
        <v>38.419798503407044</v>
      </c>
      <c r="G19" s="173">
        <v>5164847.4</v>
      </c>
      <c r="H19" s="174">
        <v>4053.2</v>
      </c>
      <c r="I19" s="10"/>
      <c r="J19" s="19">
        <v>2004</v>
      </c>
      <c r="K19" s="20">
        <v>21088.1</v>
      </c>
      <c r="L19" s="20">
        <v>16967.5</v>
      </c>
      <c r="M19" s="21">
        <f>+(L19/K19)*100</f>
        <v>80.46006989724063</v>
      </c>
      <c r="N19" s="10"/>
    </row>
    <row r="20" spans="1:8" ht="57.75" customHeight="1" thickTop="1">
      <c r="A20" s="585" t="s">
        <v>107</v>
      </c>
      <c r="B20" s="585"/>
      <c r="C20" s="585"/>
      <c r="D20" s="585"/>
      <c r="E20" s="585"/>
      <c r="F20" s="585"/>
      <c r="G20" s="585"/>
      <c r="H20" s="585"/>
    </row>
    <row r="21" spans="1:8" ht="48.75" customHeight="1">
      <c r="A21" s="586" t="s">
        <v>454</v>
      </c>
      <c r="B21" s="587"/>
      <c r="C21" s="587"/>
      <c r="D21" s="587"/>
      <c r="E21" s="587"/>
      <c r="F21" s="587"/>
      <c r="G21" s="587"/>
      <c r="H21" s="587"/>
    </row>
  </sheetData>
  <mergeCells count="8">
    <mergeCell ref="A1:H1"/>
    <mergeCell ref="A2:H2"/>
    <mergeCell ref="A20:H20"/>
    <mergeCell ref="A21:H21"/>
    <mergeCell ref="F5:F6"/>
    <mergeCell ref="E5:E6"/>
    <mergeCell ref="B5:C5"/>
    <mergeCell ref="G5:H5"/>
  </mergeCells>
  <printOptions/>
  <pageMargins left="0.5905511811023623" right="0.7480314960629921" top="0" bottom="0" header="0" footer="0"/>
  <pageSetup horizontalDpi="300" verticalDpi="300" orientation="portrait" paperSize="9" r:id="rId2"/>
  <headerFooter alignWithMargins="0">
    <oddFooter>&amp;C9</oddFooter>
  </headerFooter>
  <drawing r:id="rId1"/>
</worksheet>
</file>

<file path=xl/worksheets/sheet12.xml><?xml version="1.0" encoding="utf-8"?>
<worksheet xmlns="http://schemas.openxmlformats.org/spreadsheetml/2006/main" xmlns:r="http://schemas.openxmlformats.org/officeDocument/2006/relationships">
  <sheetPr>
    <tabColor indexed="12"/>
  </sheetPr>
  <dimension ref="A1:N21"/>
  <sheetViews>
    <sheetView showGridLines="0" workbookViewId="0" topLeftCell="A7">
      <selection activeCell="F17" sqref="F17"/>
    </sheetView>
  </sheetViews>
  <sheetFormatPr defaultColWidth="9.00390625" defaultRowHeight="12.75"/>
  <cols>
    <col min="1" max="1" width="15.00390625" style="14" customWidth="1"/>
    <col min="2" max="2" width="13.375" style="14" customWidth="1"/>
    <col min="3" max="3" width="11.875" style="14" customWidth="1"/>
    <col min="4" max="4" width="14.00390625" style="14" customWidth="1"/>
    <col min="5" max="5" width="13.00390625" style="14" customWidth="1"/>
    <col min="6" max="6" width="13.25390625" style="14" customWidth="1"/>
    <col min="7" max="7" width="13.625" style="14" customWidth="1"/>
    <col min="8" max="16384" width="9.125" style="14" customWidth="1"/>
  </cols>
  <sheetData>
    <row r="1" spans="1:7" ht="23.25" customHeight="1">
      <c r="A1" s="593" t="s">
        <v>434</v>
      </c>
      <c r="B1" s="594"/>
      <c r="C1" s="594"/>
      <c r="D1" s="594"/>
      <c r="E1" s="594"/>
      <c r="F1" s="594"/>
      <c r="G1" s="594"/>
    </row>
    <row r="2" spans="1:7" ht="21.75" customHeight="1" thickBot="1">
      <c r="A2" s="595" t="s">
        <v>114</v>
      </c>
      <c r="B2" s="596"/>
      <c r="C2" s="596"/>
      <c r="D2" s="596"/>
      <c r="E2" s="596"/>
      <c r="F2" s="596"/>
      <c r="G2" s="596"/>
    </row>
    <row r="3" spans="1:14" ht="22.5" customHeight="1" thickTop="1">
      <c r="A3" s="604" t="s">
        <v>89</v>
      </c>
      <c r="B3" s="602" t="s">
        <v>115</v>
      </c>
      <c r="C3" s="603"/>
      <c r="D3" s="603"/>
      <c r="E3" s="602" t="s">
        <v>116</v>
      </c>
      <c r="F3" s="603"/>
      <c r="G3" s="606"/>
      <c r="H3" s="22"/>
      <c r="I3" s="22"/>
      <c r="J3" s="23"/>
      <c r="K3" s="23"/>
      <c r="L3" s="23"/>
      <c r="M3" s="23"/>
      <c r="N3" s="23"/>
    </row>
    <row r="4" spans="1:14" s="4" customFormat="1" ht="89.25" customHeight="1">
      <c r="A4" s="605"/>
      <c r="B4" s="159" t="s">
        <v>90</v>
      </c>
      <c r="C4" s="159" t="s">
        <v>91</v>
      </c>
      <c r="D4" s="159" t="s">
        <v>117</v>
      </c>
      <c r="E4" s="159" t="s">
        <v>90</v>
      </c>
      <c r="F4" s="159" t="s">
        <v>91</v>
      </c>
      <c r="G4" s="175" t="s">
        <v>117</v>
      </c>
      <c r="H4" s="24"/>
      <c r="I4" s="24"/>
      <c r="J4" s="24"/>
      <c r="K4" s="24"/>
      <c r="L4" s="24"/>
      <c r="M4" s="24"/>
      <c r="N4" s="24"/>
    </row>
    <row r="5" spans="1:7" s="4" customFormat="1" ht="15">
      <c r="A5" s="176" t="s">
        <v>77</v>
      </c>
      <c r="B5" s="177">
        <v>1508000</v>
      </c>
      <c r="C5" s="177">
        <f>1717731+16924</f>
        <v>1734655</v>
      </c>
      <c r="D5" s="386">
        <f aca="true" t="shared" si="0" ref="D5:D16">+(B5/C5)*100</f>
        <v>86.93371304380409</v>
      </c>
      <c r="E5" s="177">
        <v>1928000</v>
      </c>
      <c r="F5" s="177">
        <f>1927208+18240</f>
        <v>1945448</v>
      </c>
      <c r="G5" s="367">
        <f aca="true" t="shared" si="1" ref="G5:G10">+(E5/F5)*100</f>
        <v>99.10313716943347</v>
      </c>
    </row>
    <row r="6" spans="1:7" s="4" customFormat="1" ht="15">
      <c r="A6" s="176" t="s">
        <v>78</v>
      </c>
      <c r="B6" s="177">
        <v>1554100</v>
      </c>
      <c r="C6" s="177">
        <f>1703337+16983</f>
        <v>1720320</v>
      </c>
      <c r="D6" s="386">
        <f t="shared" si="0"/>
        <v>90.33784412202381</v>
      </c>
      <c r="E6" s="177">
        <v>1740000</v>
      </c>
      <c r="F6" s="177">
        <f>1990535+160980+17745</f>
        <v>2169260</v>
      </c>
      <c r="G6" s="367">
        <f t="shared" si="1"/>
        <v>80.21168509076828</v>
      </c>
    </row>
    <row r="7" spans="1:7" s="4" customFormat="1" ht="15">
      <c r="A7" s="176" t="s">
        <v>79</v>
      </c>
      <c r="B7" s="177">
        <v>1685000</v>
      </c>
      <c r="C7" s="177">
        <f>1728320+17054</f>
        <v>1745374</v>
      </c>
      <c r="D7" s="386">
        <f t="shared" si="0"/>
        <v>96.54091329422806</v>
      </c>
      <c r="E7" s="177">
        <v>1948000</v>
      </c>
      <c r="F7" s="177">
        <f>2024957+82736+17883</f>
        <v>2125576</v>
      </c>
      <c r="G7" s="367">
        <f t="shared" si="1"/>
        <v>91.6457468469723</v>
      </c>
    </row>
    <row r="8" spans="1:7" s="4" customFormat="1" ht="15">
      <c r="A8" s="176" t="s">
        <v>92</v>
      </c>
      <c r="B8" s="177">
        <v>1503278</v>
      </c>
      <c r="C8" s="177">
        <f>1720957+17136</f>
        <v>1738093</v>
      </c>
      <c r="D8" s="386">
        <f t="shared" si="0"/>
        <v>86.49007849407367</v>
      </c>
      <c r="E8" s="177">
        <v>1808000</v>
      </c>
      <c r="F8" s="177">
        <f>2023632+83182+17975</f>
        <v>2124789</v>
      </c>
      <c r="G8" s="367">
        <f t="shared" si="1"/>
        <v>85.0908019572767</v>
      </c>
    </row>
    <row r="9" spans="1:7" s="4" customFormat="1" ht="15">
      <c r="A9" s="176" t="s">
        <v>81</v>
      </c>
      <c r="B9" s="177">
        <v>1660000</v>
      </c>
      <c r="C9" s="177">
        <f>1772742+17212</f>
        <v>1789954</v>
      </c>
      <c r="D9" s="386">
        <f t="shared" si="0"/>
        <v>92.73981342537294</v>
      </c>
      <c r="E9" s="177">
        <v>2159000</v>
      </c>
      <c r="F9" s="177">
        <f>2019064+83354+18525</f>
        <v>2120943</v>
      </c>
      <c r="G9" s="367">
        <f t="shared" si="1"/>
        <v>101.79434336519179</v>
      </c>
    </row>
    <row r="10" spans="1:7" s="4" customFormat="1" ht="15">
      <c r="A10" s="176" t="s">
        <v>82</v>
      </c>
      <c r="B10" s="177">
        <v>1657000</v>
      </c>
      <c r="C10" s="177">
        <f>1752780+17266</f>
        <v>1770046</v>
      </c>
      <c r="D10" s="386">
        <f t="shared" si="0"/>
        <v>93.61338631877364</v>
      </c>
      <c r="E10" s="177">
        <v>2157000</v>
      </c>
      <c r="F10" s="177">
        <f>2023606+83893+18644</f>
        <v>2126143</v>
      </c>
      <c r="G10" s="367">
        <f t="shared" si="1"/>
        <v>101.45131348173663</v>
      </c>
    </row>
    <row r="11" spans="1:7" s="4" customFormat="1" ht="15">
      <c r="A11" s="176" t="s">
        <v>83</v>
      </c>
      <c r="B11" s="177">
        <v>1669000</v>
      </c>
      <c r="C11" s="177">
        <f>1861971+17329</f>
        <v>1879300</v>
      </c>
      <c r="D11" s="386">
        <f t="shared" si="0"/>
        <v>88.80966317245783</v>
      </c>
      <c r="E11" s="177"/>
      <c r="F11" s="177"/>
      <c r="G11" s="178"/>
    </row>
    <row r="12" spans="1:7" s="4" customFormat="1" ht="15">
      <c r="A12" s="176" t="s">
        <v>84</v>
      </c>
      <c r="B12" s="177">
        <v>1675000</v>
      </c>
      <c r="C12" s="177">
        <f>1867259+17381</f>
        <v>1884640</v>
      </c>
      <c r="D12" s="386">
        <f t="shared" si="0"/>
        <v>88.87639018592411</v>
      </c>
      <c r="E12" s="177"/>
      <c r="F12" s="177"/>
      <c r="G12" s="178"/>
    </row>
    <row r="13" spans="1:7" s="4" customFormat="1" ht="15">
      <c r="A13" s="176" t="s">
        <v>85</v>
      </c>
      <c r="B13" s="177">
        <v>1703000</v>
      </c>
      <c r="C13" s="177">
        <f>1881506+17852</f>
        <v>1899358</v>
      </c>
      <c r="D13" s="386">
        <f t="shared" si="0"/>
        <v>89.6618752231017</v>
      </c>
      <c r="E13" s="177"/>
      <c r="F13" s="177"/>
      <c r="G13" s="178"/>
    </row>
    <row r="14" spans="1:7" s="4" customFormat="1" ht="15">
      <c r="A14" s="176" t="s">
        <v>86</v>
      </c>
      <c r="B14" s="177">
        <v>1728000</v>
      </c>
      <c r="C14" s="177">
        <f>1902298+18042</f>
        <v>1920340</v>
      </c>
      <c r="D14" s="386">
        <f t="shared" si="0"/>
        <v>89.98406532176594</v>
      </c>
      <c r="E14" s="177"/>
      <c r="F14" s="177"/>
      <c r="G14" s="178"/>
    </row>
    <row r="15" spans="1:7" s="4" customFormat="1" ht="15">
      <c r="A15" s="176" t="s">
        <v>87</v>
      </c>
      <c r="B15" s="177">
        <v>1717000</v>
      </c>
      <c r="C15" s="177">
        <f>1912382+18123</f>
        <v>1930505</v>
      </c>
      <c r="D15" s="386">
        <f t="shared" si="0"/>
        <v>88.94045858467085</v>
      </c>
      <c r="E15" s="177"/>
      <c r="F15" s="177"/>
      <c r="G15" s="178"/>
    </row>
    <row r="16" spans="1:7" s="4" customFormat="1" ht="15">
      <c r="A16" s="176" t="s">
        <v>88</v>
      </c>
      <c r="B16" s="177">
        <v>1806000</v>
      </c>
      <c r="C16" s="177">
        <f>1914210+18124</f>
        <v>1932334</v>
      </c>
      <c r="D16" s="386">
        <f t="shared" si="0"/>
        <v>93.46210334238285</v>
      </c>
      <c r="E16" s="177"/>
      <c r="F16" s="177"/>
      <c r="G16" s="178"/>
    </row>
    <row r="17" spans="1:7" s="4" customFormat="1" ht="15.75" thickBot="1">
      <c r="A17" s="179" t="s">
        <v>93</v>
      </c>
      <c r="B17" s="180">
        <f>SUM(B5:B16)</f>
        <v>19865378</v>
      </c>
      <c r="C17" s="180">
        <f>SUM(C5:C16)</f>
        <v>21944919</v>
      </c>
      <c r="D17" s="387">
        <f>+(B17/C17)*100</f>
        <v>90.52381555839874</v>
      </c>
      <c r="E17" s="180">
        <f>SUM(E5:E16)</f>
        <v>11740000</v>
      </c>
      <c r="F17" s="180">
        <f>SUM(F5:F16)</f>
        <v>12612159</v>
      </c>
      <c r="G17" s="368">
        <f>+(E17/F17)*100</f>
        <v>93.08477636541055</v>
      </c>
    </row>
    <row r="18" spans="1:7" s="4" customFormat="1" ht="49.5" customHeight="1" thickTop="1">
      <c r="A18" s="597" t="s">
        <v>118</v>
      </c>
      <c r="B18" s="598"/>
      <c r="C18" s="598"/>
      <c r="D18" s="598"/>
      <c r="E18" s="598"/>
      <c r="F18" s="598"/>
      <c r="G18" s="599"/>
    </row>
    <row r="19" spans="1:7" s="4" customFormat="1" ht="12.75" customHeight="1">
      <c r="A19" s="600"/>
      <c r="B19" s="601"/>
      <c r="C19" s="601"/>
      <c r="D19" s="601"/>
      <c r="E19" s="601"/>
      <c r="F19" s="25"/>
      <c r="G19" s="26"/>
    </row>
    <row r="20" s="4" customFormat="1" ht="15">
      <c r="A20" s="27" t="s">
        <v>53</v>
      </c>
    </row>
    <row r="21" s="4" customFormat="1" ht="15">
      <c r="G21" s="4" t="s">
        <v>53</v>
      </c>
    </row>
    <row r="22" s="4" customFormat="1" ht="15"/>
    <row r="23" s="4" customFormat="1" ht="15"/>
    <row r="24" s="4" customFormat="1" ht="15"/>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sheetData>
  <mergeCells count="7">
    <mergeCell ref="A1:G1"/>
    <mergeCell ref="A2:G2"/>
    <mergeCell ref="A18:G18"/>
    <mergeCell ref="A19:E19"/>
    <mergeCell ref="B3:D3"/>
    <mergeCell ref="A3:A4"/>
    <mergeCell ref="E3:G3"/>
  </mergeCells>
  <printOptions/>
  <pageMargins left="0.7480314960629921" right="0" top="0.984251968503937" bottom="0" header="0" footer="0.5118110236220472"/>
  <pageSetup horizontalDpi="300" verticalDpi="300" orientation="portrait" paperSize="9" scale="95" r:id="rId2"/>
  <headerFooter alignWithMargins="0">
    <oddFooter>&amp;C10</oddFooter>
  </headerFooter>
  <ignoredErrors>
    <ignoredError sqref="D17" formula="1"/>
  </ignoredErrors>
  <drawing r:id="rId1"/>
</worksheet>
</file>

<file path=xl/worksheets/sheet13.xml><?xml version="1.0" encoding="utf-8"?>
<worksheet xmlns="http://schemas.openxmlformats.org/spreadsheetml/2006/main" xmlns:r="http://schemas.openxmlformats.org/officeDocument/2006/relationships">
  <sheetPr>
    <tabColor indexed="12"/>
  </sheetPr>
  <dimension ref="A1:H40"/>
  <sheetViews>
    <sheetView showGridLines="0" workbookViewId="0" topLeftCell="A31">
      <selection activeCell="B34" sqref="B34"/>
    </sheetView>
  </sheetViews>
  <sheetFormatPr defaultColWidth="9.00390625" defaultRowHeight="12.75"/>
  <cols>
    <col min="1" max="1" width="14.25390625" style="8" customWidth="1"/>
    <col min="2" max="2" width="14.25390625" style="1" customWidth="1"/>
    <col min="3" max="3" width="19.25390625" style="1" customWidth="1"/>
    <col min="4" max="4" width="16.75390625" style="1" customWidth="1"/>
    <col min="5" max="5" width="15.625" style="1" customWidth="1"/>
    <col min="6" max="7" width="9.125" style="1" customWidth="1"/>
    <col min="8" max="8" width="10.25390625" style="1" bestFit="1" customWidth="1"/>
    <col min="9" max="16384" width="9.125" style="1" customWidth="1"/>
  </cols>
  <sheetData>
    <row r="1" spans="1:5" s="14" customFormat="1" ht="31.5" customHeight="1">
      <c r="A1" s="607" t="s">
        <v>106</v>
      </c>
      <c r="B1" s="565"/>
      <c r="C1" s="565"/>
      <c r="D1" s="565"/>
      <c r="E1" s="565"/>
    </row>
    <row r="2" ht="3.75" customHeight="1"/>
    <row r="3" spans="1:5" s="14" customFormat="1" ht="16.5" thickBot="1">
      <c r="A3" s="12" t="s">
        <v>119</v>
      </c>
      <c r="B3" s="16"/>
      <c r="C3" s="16"/>
      <c r="E3" s="31" t="s">
        <v>120</v>
      </c>
    </row>
    <row r="4" spans="1:5" ht="21.75" thickTop="1">
      <c r="A4" s="192" t="s">
        <v>89</v>
      </c>
      <c r="B4" s="142" t="s">
        <v>103</v>
      </c>
      <c r="C4" s="142" t="s">
        <v>104</v>
      </c>
      <c r="D4" s="142" t="s">
        <v>94</v>
      </c>
      <c r="E4" s="143" t="s">
        <v>95</v>
      </c>
    </row>
    <row r="5" spans="1:5" ht="12.75">
      <c r="A5" s="182" t="s">
        <v>77</v>
      </c>
      <c r="B5" s="194">
        <v>1508000</v>
      </c>
      <c r="C5" s="194">
        <f aca="true" t="shared" si="0" ref="C5:C11">SUM(D5:E5)</f>
        <v>699000</v>
      </c>
      <c r="D5" s="194">
        <v>586000</v>
      </c>
      <c r="E5" s="196">
        <v>113000</v>
      </c>
    </row>
    <row r="6" spans="1:5" ht="12.75">
      <c r="A6" s="182" t="s">
        <v>78</v>
      </c>
      <c r="B6" s="194">
        <v>1554100</v>
      </c>
      <c r="C6" s="194">
        <f t="shared" si="0"/>
        <v>712000</v>
      </c>
      <c r="D6" s="194">
        <v>600000</v>
      </c>
      <c r="E6" s="196">
        <v>112000</v>
      </c>
    </row>
    <row r="7" spans="1:5" ht="12.75">
      <c r="A7" s="182" t="s">
        <v>79</v>
      </c>
      <c r="B7" s="194">
        <v>1685000</v>
      </c>
      <c r="C7" s="194">
        <f t="shared" si="0"/>
        <v>637000</v>
      </c>
      <c r="D7" s="194">
        <v>525000</v>
      </c>
      <c r="E7" s="196">
        <v>112000</v>
      </c>
    </row>
    <row r="8" spans="1:5" ht="12.75">
      <c r="A8" s="182" t="s">
        <v>80</v>
      </c>
      <c r="B8" s="194">
        <v>1503278</v>
      </c>
      <c r="C8" s="194">
        <f t="shared" si="0"/>
        <v>653000</v>
      </c>
      <c r="D8" s="194">
        <v>540000</v>
      </c>
      <c r="E8" s="196">
        <v>113000</v>
      </c>
    </row>
    <row r="9" spans="1:5" ht="12.75">
      <c r="A9" s="182" t="s">
        <v>81</v>
      </c>
      <c r="B9" s="194">
        <v>1660000</v>
      </c>
      <c r="C9" s="194">
        <f t="shared" si="0"/>
        <v>955500</v>
      </c>
      <c r="D9" s="194">
        <v>843000</v>
      </c>
      <c r="E9" s="196">
        <v>112500</v>
      </c>
    </row>
    <row r="10" spans="1:5" ht="12.75">
      <c r="A10" s="182" t="s">
        <v>82</v>
      </c>
      <c r="B10" s="194">
        <v>1657000</v>
      </c>
      <c r="C10" s="194">
        <f t="shared" si="0"/>
        <v>623000</v>
      </c>
      <c r="D10" s="194">
        <v>510000</v>
      </c>
      <c r="E10" s="196">
        <v>113000</v>
      </c>
    </row>
    <row r="11" spans="1:5" ht="12.75">
      <c r="A11" s="182" t="s">
        <v>83</v>
      </c>
      <c r="B11" s="194">
        <v>1669000</v>
      </c>
      <c r="C11" s="194">
        <f t="shared" si="0"/>
        <v>713000</v>
      </c>
      <c r="D11" s="194">
        <v>600000</v>
      </c>
      <c r="E11" s="196">
        <v>113000</v>
      </c>
    </row>
    <row r="12" spans="1:5" ht="12.75">
      <c r="A12" s="182" t="s">
        <v>84</v>
      </c>
      <c r="B12" s="194">
        <v>1675000</v>
      </c>
      <c r="C12" s="194">
        <f>SUM(D12:E12)</f>
        <v>900000</v>
      </c>
      <c r="D12" s="194">
        <v>850000</v>
      </c>
      <c r="E12" s="196">
        <v>50000</v>
      </c>
    </row>
    <row r="13" spans="1:5" ht="12.75">
      <c r="A13" s="182" t="s">
        <v>85</v>
      </c>
      <c r="B13" s="194">
        <v>1703000</v>
      </c>
      <c r="C13" s="194">
        <f>SUM(D13:E13)</f>
        <v>776500</v>
      </c>
      <c r="D13" s="194">
        <v>664000</v>
      </c>
      <c r="E13" s="196">
        <v>112500</v>
      </c>
    </row>
    <row r="14" spans="1:5" ht="12.75">
      <c r="A14" s="182" t="s">
        <v>86</v>
      </c>
      <c r="B14" s="194">
        <v>1728000</v>
      </c>
      <c r="C14" s="194">
        <f>SUM(D14:E14)</f>
        <v>670500</v>
      </c>
      <c r="D14" s="194">
        <v>558000</v>
      </c>
      <c r="E14" s="196">
        <v>112500</v>
      </c>
    </row>
    <row r="15" spans="1:5" ht="12.75">
      <c r="A15" s="182" t="s">
        <v>87</v>
      </c>
      <c r="B15" s="194">
        <v>1717000</v>
      </c>
      <c r="C15" s="194">
        <f>SUM(D15:E15)</f>
        <v>756267</v>
      </c>
      <c r="D15" s="194">
        <v>756267</v>
      </c>
      <c r="E15" s="196">
        <v>0</v>
      </c>
    </row>
    <row r="16" spans="1:5" ht="12.75">
      <c r="A16" s="182" t="s">
        <v>88</v>
      </c>
      <c r="B16" s="194">
        <v>1806000</v>
      </c>
      <c r="C16" s="194">
        <f>SUM(D16:E16)</f>
        <v>761500</v>
      </c>
      <c r="D16" s="194">
        <v>475000</v>
      </c>
      <c r="E16" s="196">
        <v>286500</v>
      </c>
    </row>
    <row r="17" spans="1:5" ht="13.5" thickBot="1">
      <c r="A17" s="188" t="s">
        <v>29</v>
      </c>
      <c r="B17" s="197">
        <f>SUM(B5:B16)</f>
        <v>19865378</v>
      </c>
      <c r="C17" s="197">
        <f>SUM(C5:C16)</f>
        <v>8857267</v>
      </c>
      <c r="D17" s="197">
        <f>SUM(D5:D16)</f>
        <v>7507267</v>
      </c>
      <c r="E17" s="198">
        <f>SUM(E5:E16)</f>
        <v>1350000</v>
      </c>
    </row>
    <row r="18" spans="1:5" ht="13.5" thickTop="1">
      <c r="A18" s="28"/>
      <c r="B18" s="29"/>
      <c r="C18" s="29" t="s">
        <v>53</v>
      </c>
      <c r="D18" s="29" t="s">
        <v>53</v>
      </c>
      <c r="E18" s="29" t="s">
        <v>53</v>
      </c>
    </row>
    <row r="19" spans="1:5" ht="18.75" customHeight="1" thickBot="1">
      <c r="A19" s="608" t="s">
        <v>121</v>
      </c>
      <c r="B19" s="609"/>
      <c r="C19" s="609"/>
      <c r="D19" s="609"/>
      <c r="E19" s="31" t="s">
        <v>122</v>
      </c>
    </row>
    <row r="20" spans="1:5" ht="22.5" customHeight="1" thickTop="1">
      <c r="A20" s="181" t="s">
        <v>89</v>
      </c>
      <c r="B20" s="142" t="s">
        <v>103</v>
      </c>
      <c r="C20" s="142" t="s">
        <v>104</v>
      </c>
      <c r="D20" s="142" t="s">
        <v>94</v>
      </c>
      <c r="E20" s="143" t="s">
        <v>95</v>
      </c>
    </row>
    <row r="21" spans="1:5" ht="13.5" customHeight="1">
      <c r="A21" s="182" t="s">
        <v>77</v>
      </c>
      <c r="B21" s="183">
        <f>+B5/1329.5</f>
        <v>1134.2610003760813</v>
      </c>
      <c r="C21" s="183">
        <f aca="true" t="shared" si="1" ref="C21:C32">SUM(D21:E21)</f>
        <v>525.7615644979315</v>
      </c>
      <c r="D21" s="183">
        <f>+D5/1329.5</f>
        <v>440.7672057164348</v>
      </c>
      <c r="E21" s="184">
        <f>+E5/1329.5</f>
        <v>84.9943587814968</v>
      </c>
    </row>
    <row r="22" spans="1:5" ht="12.75">
      <c r="A22" s="182" t="s">
        <v>78</v>
      </c>
      <c r="B22" s="183">
        <f>+B6/1278.5</f>
        <v>1215.5651153695737</v>
      </c>
      <c r="C22" s="183">
        <f t="shared" si="1"/>
        <v>556.902620258115</v>
      </c>
      <c r="D22" s="183">
        <f>+D6/1278.5</f>
        <v>469.2999608916699</v>
      </c>
      <c r="E22" s="184">
        <f>+E6/1278.5</f>
        <v>87.60265936644505</v>
      </c>
    </row>
    <row r="23" spans="1:5" ht="12.75">
      <c r="A23" s="182" t="s">
        <v>79</v>
      </c>
      <c r="B23" s="183">
        <f>+B7/1346.2</f>
        <v>1251.6713712672708</v>
      </c>
      <c r="C23" s="183">
        <f t="shared" si="1"/>
        <v>473.1837765562324</v>
      </c>
      <c r="D23" s="183">
        <f>+D7/1346.2</f>
        <v>389.98662902986183</v>
      </c>
      <c r="E23" s="184">
        <f>+E7/1346.2</f>
        <v>83.19714752637053</v>
      </c>
    </row>
    <row r="24" spans="1:5" ht="12.75">
      <c r="A24" s="182" t="s">
        <v>80</v>
      </c>
      <c r="B24" s="183">
        <f>+B8/1384.4</f>
        <v>1085.8696908407974</v>
      </c>
      <c r="C24" s="183">
        <f>SUM(D24:E24)</f>
        <v>471.684484253106</v>
      </c>
      <c r="D24" s="183">
        <f>+D8/1384.4</f>
        <v>390.06067610517186</v>
      </c>
      <c r="E24" s="184">
        <f>+E8/1384.4</f>
        <v>81.62380814793411</v>
      </c>
    </row>
    <row r="25" spans="1:5" ht="12.75">
      <c r="A25" s="182" t="s">
        <v>81</v>
      </c>
      <c r="B25" s="183">
        <f>+B9/1355</f>
        <v>1225.0922509225093</v>
      </c>
      <c r="C25" s="183">
        <f>SUM(D25:E25)</f>
        <v>705.1660516605166</v>
      </c>
      <c r="D25" s="183">
        <f>+D9/1355</f>
        <v>622.140221402214</v>
      </c>
      <c r="E25" s="184">
        <f>+E9/1355</f>
        <v>83.02583025830258</v>
      </c>
    </row>
    <row r="26" spans="1:5" ht="12.75">
      <c r="A26" s="182" t="s">
        <v>82</v>
      </c>
      <c r="B26" s="183">
        <f>+B10/1333.7</f>
        <v>1242.4083377071304</v>
      </c>
      <c r="C26" s="183">
        <f t="shared" si="1"/>
        <v>467.12154157606653</v>
      </c>
      <c r="D26" s="183">
        <f>+D10/1333.7</f>
        <v>382.3948414186099</v>
      </c>
      <c r="E26" s="184">
        <f>+E10/1333.7</f>
        <v>84.72670015745669</v>
      </c>
    </row>
    <row r="27" spans="1:5" ht="12.75">
      <c r="A27" s="182" t="s">
        <v>83</v>
      </c>
      <c r="B27" s="183">
        <f>+B11/1321.2</f>
        <v>1263.2455343627005</v>
      </c>
      <c r="C27" s="183">
        <f t="shared" si="1"/>
        <v>539.6609143203149</v>
      </c>
      <c r="D27" s="183">
        <f>+D11/1321.2</f>
        <v>454.1326067211626</v>
      </c>
      <c r="E27" s="184">
        <f>+E11/1321.2</f>
        <v>85.52830759915228</v>
      </c>
    </row>
    <row r="28" spans="1:5" ht="12.75">
      <c r="A28" s="182" t="s">
        <v>84</v>
      </c>
      <c r="B28" s="183">
        <f>+B12/1347.3</f>
        <v>1243.2271951310029</v>
      </c>
      <c r="C28" s="183">
        <f t="shared" si="1"/>
        <v>668.002672010688</v>
      </c>
      <c r="D28" s="183">
        <f>+D12/1347.3</f>
        <v>630.8914124545387</v>
      </c>
      <c r="E28" s="184">
        <f>+E12/1347.3</f>
        <v>37.111259556149335</v>
      </c>
    </row>
    <row r="29" spans="1:5" s="30" customFormat="1" ht="12.75">
      <c r="A29" s="185" t="s">
        <v>85</v>
      </c>
      <c r="B29" s="186">
        <f>+B13/1342.2</f>
        <v>1268.812397556251</v>
      </c>
      <c r="C29" s="186">
        <f t="shared" si="1"/>
        <v>578.5277901952019</v>
      </c>
      <c r="D29" s="186">
        <f>+D13/1342.2</f>
        <v>494.71017732081657</v>
      </c>
      <c r="E29" s="187">
        <f>+E13/1342.2</f>
        <v>83.81761287438533</v>
      </c>
    </row>
    <row r="30" spans="1:5" ht="12.75">
      <c r="A30" s="182" t="s">
        <v>86</v>
      </c>
      <c r="B30" s="183">
        <f>+B14/1341.7</f>
        <v>1287.918312588507</v>
      </c>
      <c r="C30" s="183">
        <f t="shared" si="1"/>
        <v>499.739136915853</v>
      </c>
      <c r="D30" s="183">
        <f>+D14/1341.7</f>
        <v>415.8902884400387</v>
      </c>
      <c r="E30" s="184">
        <f>+E14/1341.7</f>
        <v>83.84884847581426</v>
      </c>
    </row>
    <row r="31" spans="1:5" ht="12.75">
      <c r="A31" s="182" t="s">
        <v>87</v>
      </c>
      <c r="B31" s="183">
        <f>+B15/1350</f>
        <v>1271.851851851852</v>
      </c>
      <c r="C31" s="183">
        <f t="shared" si="1"/>
        <v>560.1977777777778</v>
      </c>
      <c r="D31" s="183">
        <f>+D15/1350</f>
        <v>560.1977777777778</v>
      </c>
      <c r="E31" s="184">
        <f>+E15/1350</f>
        <v>0</v>
      </c>
    </row>
    <row r="32" spans="1:5" ht="12.75">
      <c r="A32" s="182" t="s">
        <v>88</v>
      </c>
      <c r="B32" s="183">
        <f>+B16/1341.8</f>
        <v>1345.953197197794</v>
      </c>
      <c r="C32" s="183">
        <f t="shared" si="1"/>
        <v>567.5212401252049</v>
      </c>
      <c r="D32" s="183">
        <f>+D16/1341.8</f>
        <v>354.00208674914296</v>
      </c>
      <c r="E32" s="184">
        <f>+E16/1341.8</f>
        <v>213.519153376062</v>
      </c>
    </row>
    <row r="33" spans="1:5" ht="13.5" thickBot="1">
      <c r="A33" s="188" t="s">
        <v>29</v>
      </c>
      <c r="B33" s="189">
        <f>SUM(B21:B32)</f>
        <v>14835.876255171468</v>
      </c>
      <c r="C33" s="190">
        <f>SUM(C21:C32)</f>
        <v>6613.469570147008</v>
      </c>
      <c r="D33" s="190">
        <f>SUM(D21:D32)</f>
        <v>5604.473884027439</v>
      </c>
      <c r="E33" s="191">
        <f>SUM(E21:E32)</f>
        <v>1008.995686119569</v>
      </c>
    </row>
    <row r="34" ht="13.5" thickTop="1"/>
    <row r="39" ht="12.75">
      <c r="H39" s="33"/>
    </row>
    <row r="40" ht="12.75">
      <c r="H40" s="34"/>
    </row>
  </sheetData>
  <mergeCells count="2">
    <mergeCell ref="A1:E1"/>
    <mergeCell ref="A19:D19"/>
  </mergeCells>
  <printOptions/>
  <pageMargins left="0.75" right="0.75" top="1" bottom="1" header="0.5" footer="0.5"/>
  <pageSetup horizontalDpi="300" verticalDpi="300" orientation="portrait" paperSize="9" r:id="rId2"/>
  <headerFooter alignWithMargins="0">
    <oddFooter>&amp;C11</oddFooter>
  </headerFooter>
  <ignoredErrors>
    <ignoredError sqref="C21:C33" formula="1"/>
  </ignoredErrors>
  <drawing r:id="rId1"/>
</worksheet>
</file>

<file path=xl/worksheets/sheet14.xml><?xml version="1.0" encoding="utf-8"?>
<worksheet xmlns="http://schemas.openxmlformats.org/spreadsheetml/2006/main" xmlns:r="http://schemas.openxmlformats.org/officeDocument/2006/relationships">
  <sheetPr>
    <tabColor indexed="12"/>
  </sheetPr>
  <dimension ref="A1:I40"/>
  <sheetViews>
    <sheetView showGridLines="0" workbookViewId="0" topLeftCell="A16">
      <selection activeCell="F10" sqref="F10"/>
    </sheetView>
  </sheetViews>
  <sheetFormatPr defaultColWidth="9.00390625" defaultRowHeight="12.75"/>
  <cols>
    <col min="1" max="1" width="14.25390625" style="8" customWidth="1"/>
    <col min="2" max="2" width="11.875" style="1" customWidth="1"/>
    <col min="3" max="3" width="18.00390625" style="1" customWidth="1"/>
    <col min="4" max="4" width="12.25390625" style="1" customWidth="1"/>
    <col min="5" max="5" width="12.00390625" style="1" customWidth="1"/>
    <col min="6" max="6" width="15.625" style="1" customWidth="1"/>
    <col min="7" max="8" width="9.125" style="1" customWidth="1"/>
    <col min="9" max="9" width="10.25390625" style="1" bestFit="1" customWidth="1"/>
    <col min="10" max="16384" width="9.125" style="1" customWidth="1"/>
  </cols>
  <sheetData>
    <row r="1" spans="1:6" s="14" customFormat="1" ht="33" customHeight="1">
      <c r="A1" s="607" t="s">
        <v>123</v>
      </c>
      <c r="B1" s="565"/>
      <c r="C1" s="565"/>
      <c r="D1" s="565"/>
      <c r="E1" s="565"/>
      <c r="F1" s="565"/>
    </row>
    <row r="2" ht="4.5" customHeight="1"/>
    <row r="3" spans="1:6" s="14" customFormat="1" ht="16.5" thickBot="1">
      <c r="A3" s="12" t="s">
        <v>124</v>
      </c>
      <c r="B3" s="16"/>
      <c r="C3" s="16"/>
      <c r="F3" s="31" t="s">
        <v>120</v>
      </c>
    </row>
    <row r="4" spans="1:6" ht="21.75" thickTop="1">
      <c r="A4" s="192" t="s">
        <v>89</v>
      </c>
      <c r="B4" s="142" t="s">
        <v>103</v>
      </c>
      <c r="C4" s="142" t="s">
        <v>104</v>
      </c>
      <c r="D4" s="142" t="s">
        <v>94</v>
      </c>
      <c r="E4" s="193" t="s">
        <v>126</v>
      </c>
      <c r="F4" s="143" t="s">
        <v>95</v>
      </c>
    </row>
    <row r="5" spans="1:6" ht="12.75">
      <c r="A5" s="182" t="s">
        <v>77</v>
      </c>
      <c r="B5" s="194">
        <v>1928000</v>
      </c>
      <c r="C5" s="194">
        <f aca="true" t="shared" si="0" ref="C5:C10">SUM(D5:F5)</f>
        <v>633000</v>
      </c>
      <c r="D5" s="194">
        <v>500000</v>
      </c>
      <c r="E5" s="195">
        <v>0</v>
      </c>
      <c r="F5" s="196">
        <v>133000</v>
      </c>
    </row>
    <row r="6" spans="1:6" ht="12.75">
      <c r="A6" s="182" t="s">
        <v>78</v>
      </c>
      <c r="B6" s="194">
        <v>1740000</v>
      </c>
      <c r="C6" s="194">
        <f t="shared" si="0"/>
        <v>1430000</v>
      </c>
      <c r="D6" s="194">
        <v>1297000</v>
      </c>
      <c r="E6" s="195">
        <v>0</v>
      </c>
      <c r="F6" s="196">
        <v>133000</v>
      </c>
    </row>
    <row r="7" spans="1:6" ht="12.75">
      <c r="A7" s="182" t="s">
        <v>79</v>
      </c>
      <c r="B7" s="194">
        <v>1948000</v>
      </c>
      <c r="C7" s="194">
        <f t="shared" si="0"/>
        <v>1055000</v>
      </c>
      <c r="D7" s="194">
        <v>922000</v>
      </c>
      <c r="E7" s="195">
        <v>0</v>
      </c>
      <c r="F7" s="196">
        <v>133000</v>
      </c>
    </row>
    <row r="8" spans="1:6" ht="12.75">
      <c r="A8" s="182" t="s">
        <v>80</v>
      </c>
      <c r="B8" s="194">
        <v>1808000</v>
      </c>
      <c r="C8" s="194">
        <f t="shared" si="0"/>
        <v>958717</v>
      </c>
      <c r="D8" s="194">
        <v>582000</v>
      </c>
      <c r="E8" s="195">
        <v>243717</v>
      </c>
      <c r="F8" s="196">
        <v>133000</v>
      </c>
    </row>
    <row r="9" spans="1:8" ht="12.75">
      <c r="A9" s="182" t="s">
        <v>81</v>
      </c>
      <c r="B9" s="194">
        <v>2159000</v>
      </c>
      <c r="C9" s="194">
        <f t="shared" si="0"/>
        <v>841000</v>
      </c>
      <c r="D9" s="194">
        <v>625000</v>
      </c>
      <c r="E9" s="195">
        <v>83000</v>
      </c>
      <c r="F9" s="196">
        <v>133000</v>
      </c>
      <c r="H9" s="37"/>
    </row>
    <row r="10" spans="1:8" ht="12.75">
      <c r="A10" s="182" t="s">
        <v>82</v>
      </c>
      <c r="B10" s="194">
        <v>2157000</v>
      </c>
      <c r="C10" s="194">
        <f t="shared" si="0"/>
        <v>803000</v>
      </c>
      <c r="D10" s="194">
        <v>587000</v>
      </c>
      <c r="E10" s="195">
        <v>83000</v>
      </c>
      <c r="F10" s="196">
        <v>133000</v>
      </c>
      <c r="H10" s="38"/>
    </row>
    <row r="11" spans="1:8" ht="12.75">
      <c r="A11" s="182" t="s">
        <v>83</v>
      </c>
      <c r="B11" s="194"/>
      <c r="C11" s="194"/>
      <c r="D11" s="194"/>
      <c r="E11" s="195"/>
      <c r="F11" s="196"/>
      <c r="H11" s="38"/>
    </row>
    <row r="12" spans="1:8" ht="12.75">
      <c r="A12" s="182" t="s">
        <v>84</v>
      </c>
      <c r="B12" s="194"/>
      <c r="C12" s="194"/>
      <c r="D12" s="194"/>
      <c r="E12" s="195"/>
      <c r="F12" s="196"/>
      <c r="H12" s="38"/>
    </row>
    <row r="13" spans="1:8" ht="12.75">
      <c r="A13" s="182" t="s">
        <v>85</v>
      </c>
      <c r="B13" s="194"/>
      <c r="C13" s="194"/>
      <c r="D13" s="194"/>
      <c r="E13" s="195"/>
      <c r="F13" s="196"/>
      <c r="H13" s="37" t="s">
        <v>53</v>
      </c>
    </row>
    <row r="14" spans="1:8" ht="12.75">
      <c r="A14" s="182" t="s">
        <v>86</v>
      </c>
      <c r="B14" s="194"/>
      <c r="C14" s="194"/>
      <c r="D14" s="194"/>
      <c r="E14" s="195"/>
      <c r="F14" s="196"/>
      <c r="H14" s="37" t="s">
        <v>53</v>
      </c>
    </row>
    <row r="15" spans="1:6" ht="12.75">
      <c r="A15" s="182" t="s">
        <v>87</v>
      </c>
      <c r="B15" s="194"/>
      <c r="C15" s="194"/>
      <c r="D15" s="194"/>
      <c r="E15" s="195"/>
      <c r="F15" s="196"/>
    </row>
    <row r="16" spans="1:6" ht="12.75">
      <c r="A16" s="182" t="s">
        <v>88</v>
      </c>
      <c r="B16" s="194"/>
      <c r="C16" s="194"/>
      <c r="D16" s="194"/>
      <c r="E16" s="195"/>
      <c r="F16" s="196"/>
    </row>
    <row r="17" spans="1:6" ht="13.5" thickBot="1">
      <c r="A17" s="188" t="s">
        <v>29</v>
      </c>
      <c r="B17" s="197">
        <f>SUM(B5:B16)</f>
        <v>11740000</v>
      </c>
      <c r="C17" s="197">
        <f>SUM(C5:C16)</f>
        <v>5720717</v>
      </c>
      <c r="D17" s="197">
        <f>SUM(D5:D16)</f>
        <v>4513000</v>
      </c>
      <c r="E17" s="197">
        <f>SUM(E5:E16)</f>
        <v>409717</v>
      </c>
      <c r="F17" s="198">
        <f>SUM(F5:F16)</f>
        <v>798000</v>
      </c>
    </row>
    <row r="18" spans="1:6" ht="9" customHeight="1" thickTop="1">
      <c r="A18" s="28"/>
      <c r="B18" s="29"/>
      <c r="C18" s="29" t="s">
        <v>53</v>
      </c>
      <c r="D18" s="29" t="s">
        <v>53</v>
      </c>
      <c r="E18" s="29"/>
      <c r="F18" s="29" t="s">
        <v>53</v>
      </c>
    </row>
    <row r="19" spans="1:6" ht="18.75" customHeight="1" thickBot="1">
      <c r="A19" s="35" t="s">
        <v>125</v>
      </c>
      <c r="B19" s="36"/>
      <c r="C19" s="36"/>
      <c r="D19" s="36"/>
      <c r="E19" s="32"/>
      <c r="F19" s="31" t="s">
        <v>122</v>
      </c>
    </row>
    <row r="20" spans="1:6" ht="22.5" customHeight="1" thickTop="1">
      <c r="A20" s="181" t="s">
        <v>89</v>
      </c>
      <c r="B20" s="142" t="s">
        <v>103</v>
      </c>
      <c r="C20" s="142" t="s">
        <v>104</v>
      </c>
      <c r="D20" s="142" t="s">
        <v>94</v>
      </c>
      <c r="E20" s="193" t="s">
        <v>126</v>
      </c>
      <c r="F20" s="143" t="s">
        <v>95</v>
      </c>
    </row>
    <row r="21" spans="1:6" ht="13.5" customHeight="1">
      <c r="A21" s="182" t="s">
        <v>77</v>
      </c>
      <c r="B21" s="183">
        <f>+B5/1319.9</f>
        <v>1460.7167209637093</v>
      </c>
      <c r="C21" s="183">
        <f>+C5/1319.9</f>
        <v>479.5817864989772</v>
      </c>
      <c r="D21" s="183">
        <f>+D5/1319.9</f>
        <v>378.8165770134101</v>
      </c>
      <c r="E21" s="183">
        <f>+E5/1319.9</f>
        <v>0</v>
      </c>
      <c r="F21" s="184">
        <f>+F5/1319.9</f>
        <v>100.76520948556708</v>
      </c>
    </row>
    <row r="22" spans="1:6" ht="12.75">
      <c r="A22" s="182" t="s">
        <v>78</v>
      </c>
      <c r="B22" s="183">
        <f>+B6/1306</f>
        <v>1332.312404287902</v>
      </c>
      <c r="C22" s="183">
        <f>+C6/1306</f>
        <v>1094.9464012251149</v>
      </c>
      <c r="D22" s="183">
        <f>+D6/1306</f>
        <v>993.1087289433384</v>
      </c>
      <c r="E22" s="183">
        <f>+E6/1306</f>
        <v>0</v>
      </c>
      <c r="F22" s="184">
        <f>+F6/1306</f>
        <v>101.83767228177642</v>
      </c>
    </row>
    <row r="23" spans="1:6" ht="12.75">
      <c r="A23" s="182" t="s">
        <v>79</v>
      </c>
      <c r="B23" s="183">
        <f>+B7/1341.7</f>
        <v>1451.8893940523217</v>
      </c>
      <c r="C23" s="183">
        <f>+C7/1341.7</f>
        <v>786.3158679287471</v>
      </c>
      <c r="D23" s="183">
        <f>+D7/1341.7</f>
        <v>687.1878959528956</v>
      </c>
      <c r="E23" s="183">
        <f>+E7/1341.7</f>
        <v>0</v>
      </c>
      <c r="F23" s="184">
        <f>+F7/1341.7</f>
        <v>99.12797197585152</v>
      </c>
    </row>
    <row r="24" spans="1:6" ht="12.75">
      <c r="A24" s="182" t="s">
        <v>80</v>
      </c>
      <c r="B24" s="183">
        <f>+B8/1315.5</f>
        <v>1374.3823641201063</v>
      </c>
      <c r="C24" s="183">
        <f>+C8/1315.5</f>
        <v>728.7852527556063</v>
      </c>
      <c r="D24" s="183">
        <f>+D8/1315.5</f>
        <v>442.41733181299884</v>
      </c>
      <c r="E24" s="183">
        <f>+E8/1315.5</f>
        <v>185.26567844925884</v>
      </c>
      <c r="F24" s="184">
        <f>+F8/1315.5</f>
        <v>101.10224249334854</v>
      </c>
    </row>
    <row r="25" spans="1:6" ht="12.75">
      <c r="A25" s="182" t="s">
        <v>81</v>
      </c>
      <c r="B25" s="183">
        <f>+B9/1560</f>
        <v>1383.974358974359</v>
      </c>
      <c r="C25" s="183">
        <f>+C9/1560</f>
        <v>539.1025641025641</v>
      </c>
      <c r="D25" s="183">
        <f>+D9/1560</f>
        <v>400.64102564102564</v>
      </c>
      <c r="E25" s="183">
        <f>+E9/1560</f>
        <v>53.205128205128204</v>
      </c>
      <c r="F25" s="184">
        <f>+F9/1560</f>
        <v>85.25641025641026</v>
      </c>
    </row>
    <row r="26" spans="1:6" ht="12.75">
      <c r="A26" s="182" t="s">
        <v>82</v>
      </c>
      <c r="B26" s="183">
        <f>+B10/1569.7</f>
        <v>1374.1479263553545</v>
      </c>
      <c r="C26" s="183">
        <f>+C10/1569.7</f>
        <v>511.56271899088995</v>
      </c>
      <c r="D26" s="183">
        <f>+D10/1569.7</f>
        <v>373.95680703319107</v>
      </c>
      <c r="E26" s="183">
        <f>+E10/1569.7</f>
        <v>52.87634579856023</v>
      </c>
      <c r="F26" s="184">
        <f>+F10/1569.7</f>
        <v>84.72956615913868</v>
      </c>
    </row>
    <row r="27" spans="1:6" ht="12.75">
      <c r="A27" s="182" t="s">
        <v>83</v>
      </c>
      <c r="B27" s="183"/>
      <c r="C27" s="183"/>
      <c r="D27" s="183"/>
      <c r="E27" s="199"/>
      <c r="F27" s="184"/>
    </row>
    <row r="28" spans="1:6" ht="12.75">
      <c r="A28" s="182" t="s">
        <v>84</v>
      </c>
      <c r="B28" s="183"/>
      <c r="C28" s="183"/>
      <c r="D28" s="183"/>
      <c r="E28" s="199"/>
      <c r="F28" s="184"/>
    </row>
    <row r="29" spans="1:6" s="30" customFormat="1" ht="12.75">
      <c r="A29" s="185" t="s">
        <v>85</v>
      </c>
      <c r="B29" s="186"/>
      <c r="C29" s="186"/>
      <c r="D29" s="186"/>
      <c r="E29" s="200"/>
      <c r="F29" s="187"/>
    </row>
    <row r="30" spans="1:6" ht="12.75">
      <c r="A30" s="182" t="s">
        <v>86</v>
      </c>
      <c r="B30" s="183"/>
      <c r="C30" s="183"/>
      <c r="D30" s="183"/>
      <c r="E30" s="199"/>
      <c r="F30" s="184"/>
    </row>
    <row r="31" spans="1:6" ht="12.75">
      <c r="A31" s="182" t="s">
        <v>87</v>
      </c>
      <c r="B31" s="183"/>
      <c r="C31" s="183"/>
      <c r="D31" s="183"/>
      <c r="E31" s="199"/>
      <c r="F31" s="184"/>
    </row>
    <row r="32" spans="1:6" ht="12.75">
      <c r="A32" s="182" t="s">
        <v>88</v>
      </c>
      <c r="B32" s="183"/>
      <c r="C32" s="183"/>
      <c r="D32" s="183"/>
      <c r="E32" s="199"/>
      <c r="F32" s="184"/>
    </row>
    <row r="33" spans="1:6" ht="13.5" thickBot="1">
      <c r="A33" s="188" t="s">
        <v>29</v>
      </c>
      <c r="B33" s="189">
        <f>SUM(B21:B32)</f>
        <v>8377.423168753752</v>
      </c>
      <c r="C33" s="190">
        <f>SUM(C21:C32)</f>
        <v>4140.294591501899</v>
      </c>
      <c r="D33" s="190">
        <f>SUM(D21:D32)</f>
        <v>3276.1283663968593</v>
      </c>
      <c r="E33" s="190">
        <f>SUM(E21:E32)</f>
        <v>291.3471524529473</v>
      </c>
      <c r="F33" s="191">
        <f>SUM(F21:F32)</f>
        <v>572.8190726520925</v>
      </c>
    </row>
    <row r="34" ht="13.5" thickTop="1"/>
    <row r="39" ht="12.75">
      <c r="I39" s="33"/>
    </row>
    <row r="40" ht="12.75">
      <c r="I40" s="34"/>
    </row>
  </sheetData>
  <mergeCells count="1">
    <mergeCell ref="A1:F1"/>
  </mergeCells>
  <printOptions/>
  <pageMargins left="0.75" right="0.75" top="1" bottom="1" header="0.5" footer="0.5"/>
  <pageSetup horizontalDpi="300" verticalDpi="300" orientation="portrait" paperSize="9" r:id="rId2"/>
  <headerFooter alignWithMargins="0">
    <oddFooter>&amp;C12</oddFooter>
  </headerFooter>
  <drawing r:id="rId1"/>
</worksheet>
</file>

<file path=xl/worksheets/sheet15.xml><?xml version="1.0" encoding="utf-8"?>
<worksheet xmlns="http://schemas.openxmlformats.org/spreadsheetml/2006/main" xmlns:r="http://schemas.openxmlformats.org/officeDocument/2006/relationships">
  <sheetPr>
    <tabColor indexed="12"/>
  </sheetPr>
  <dimension ref="A1:P35"/>
  <sheetViews>
    <sheetView showGridLines="0" tabSelected="1" workbookViewId="0" topLeftCell="C16">
      <selection activeCell="F34" sqref="F34"/>
    </sheetView>
  </sheetViews>
  <sheetFormatPr defaultColWidth="9.00390625" defaultRowHeight="12.75"/>
  <cols>
    <col min="1" max="1" width="14.25390625" style="14" customWidth="1"/>
    <col min="2" max="2" width="14.375" style="14" customWidth="1"/>
    <col min="3" max="3" width="13.875" style="14" customWidth="1"/>
    <col min="4" max="5" width="14.125" style="14" customWidth="1"/>
    <col min="6" max="6" width="13.625" style="14" customWidth="1"/>
    <col min="7" max="7" width="14.625" style="14" customWidth="1"/>
    <col min="8" max="8" width="16.375" style="14" customWidth="1"/>
    <col min="9" max="9" width="16.625" style="14" customWidth="1"/>
    <col min="10" max="10" width="15.75390625" style="14" customWidth="1"/>
    <col min="11" max="11" width="8.375" style="14" customWidth="1"/>
    <col min="12" max="12" width="10.00390625" style="14" customWidth="1"/>
    <col min="13" max="16384" width="9.125" style="14" customWidth="1"/>
  </cols>
  <sheetData>
    <row r="1" spans="1:3" ht="15.75">
      <c r="A1" s="349" t="s">
        <v>435</v>
      </c>
      <c r="B1" s="39"/>
      <c r="C1" s="39"/>
    </row>
    <row r="2" spans="1:11" ht="21" customHeight="1" thickBot="1">
      <c r="A2" s="42" t="s">
        <v>18</v>
      </c>
      <c r="B2" s="5"/>
      <c r="C2" s="40"/>
      <c r="D2" s="40"/>
      <c r="E2" s="1"/>
      <c r="F2" s="1"/>
      <c r="G2" s="1"/>
      <c r="H2" s="1"/>
      <c r="I2" s="1" t="s">
        <v>53</v>
      </c>
      <c r="J2" s="1"/>
      <c r="K2" s="1"/>
    </row>
    <row r="3" spans="1:11" ht="20.25" customHeight="1" thickTop="1">
      <c r="A3" s="201" t="s">
        <v>53</v>
      </c>
      <c r="B3" s="202">
        <v>1999</v>
      </c>
      <c r="C3" s="202">
        <v>2000</v>
      </c>
      <c r="D3" s="202">
        <v>2001</v>
      </c>
      <c r="E3" s="203">
        <v>2002</v>
      </c>
      <c r="F3" s="203">
        <v>2003</v>
      </c>
      <c r="G3" s="203">
        <v>2004</v>
      </c>
      <c r="H3" s="113">
        <v>2005</v>
      </c>
      <c r="I3" s="113" t="s">
        <v>694</v>
      </c>
      <c r="J3" s="610"/>
      <c r="K3" s="611"/>
    </row>
    <row r="4" spans="1:11" ht="18.75" customHeight="1">
      <c r="A4" s="204" t="s">
        <v>156</v>
      </c>
      <c r="B4" s="205">
        <f aca="true" t="shared" si="0" ref="B4:H4">+B5+B6+B7+B8+B9</f>
        <v>6355639</v>
      </c>
      <c r="C4" s="205">
        <f t="shared" si="0"/>
        <v>6565167</v>
      </c>
      <c r="D4" s="205">
        <f t="shared" si="0"/>
        <v>6136107</v>
      </c>
      <c r="E4" s="205">
        <f t="shared" si="0"/>
        <v>6563187</v>
      </c>
      <c r="F4" s="205">
        <f t="shared" si="0"/>
        <v>6750460</v>
      </c>
      <c r="G4" s="205">
        <f t="shared" si="0"/>
        <v>6952848</v>
      </c>
      <c r="H4" s="205">
        <f t="shared" si="0"/>
        <v>7651705</v>
      </c>
      <c r="I4" s="205">
        <f>+I5+I6+I7+I8+I9</f>
        <v>8057212</v>
      </c>
      <c r="J4" s="618" t="s">
        <v>157</v>
      </c>
      <c r="K4" s="619"/>
    </row>
    <row r="5" spans="1:12" ht="23.25" customHeight="1">
      <c r="A5" s="204" t="s">
        <v>127</v>
      </c>
      <c r="B5" s="206">
        <v>5005403</v>
      </c>
      <c r="C5" s="206">
        <v>5254125</v>
      </c>
      <c r="D5" s="206">
        <v>4886881</v>
      </c>
      <c r="E5" s="206">
        <v>5223283</v>
      </c>
      <c r="F5" s="206">
        <v>5615238</v>
      </c>
      <c r="G5" s="206">
        <v>6181251</v>
      </c>
      <c r="H5" s="206">
        <v>6918605</v>
      </c>
      <c r="I5" s="206">
        <v>7314208</v>
      </c>
      <c r="J5" s="612" t="s">
        <v>148</v>
      </c>
      <c r="K5" s="613"/>
      <c r="L5" s="14" t="s">
        <v>53</v>
      </c>
    </row>
    <row r="6" spans="1:12" ht="15.75">
      <c r="A6" s="204" t="s">
        <v>128</v>
      </c>
      <c r="B6" s="206">
        <v>229816</v>
      </c>
      <c r="C6" s="206">
        <v>253301</v>
      </c>
      <c r="D6" s="206">
        <v>191187</v>
      </c>
      <c r="E6" s="206">
        <v>215259</v>
      </c>
      <c r="F6" s="206">
        <v>231915</v>
      </c>
      <c r="G6" s="206">
        <v>219000</v>
      </c>
      <c r="H6" s="206">
        <v>241032</v>
      </c>
      <c r="I6" s="206">
        <v>259713</v>
      </c>
      <c r="J6" s="612" t="s">
        <v>149</v>
      </c>
      <c r="K6" s="613"/>
      <c r="L6" s="14" t="s">
        <v>53</v>
      </c>
    </row>
    <row r="7" spans="1:11" ht="30.75" customHeight="1">
      <c r="A7" s="204" t="s">
        <v>10</v>
      </c>
      <c r="B7" s="206">
        <v>901265</v>
      </c>
      <c r="C7" s="206">
        <v>843957</v>
      </c>
      <c r="D7" s="206">
        <v>888675</v>
      </c>
      <c r="E7" s="206">
        <v>942024</v>
      </c>
      <c r="F7" s="206">
        <v>697630</v>
      </c>
      <c r="G7" s="206">
        <v>327962</v>
      </c>
      <c r="H7" s="207">
        <v>266558</v>
      </c>
      <c r="I7" s="206">
        <v>272949</v>
      </c>
      <c r="J7" s="612" t="s">
        <v>150</v>
      </c>
      <c r="K7" s="613"/>
    </row>
    <row r="8" spans="1:11" ht="15.75">
      <c r="A8" s="204" t="s">
        <v>129</v>
      </c>
      <c r="B8" s="206">
        <v>25329</v>
      </c>
      <c r="C8" s="206">
        <v>29109</v>
      </c>
      <c r="D8" s="206">
        <v>27058</v>
      </c>
      <c r="E8" s="206">
        <v>33458</v>
      </c>
      <c r="F8" s="206">
        <v>40409</v>
      </c>
      <c r="G8" s="206">
        <v>47918</v>
      </c>
      <c r="H8" s="206">
        <v>47332</v>
      </c>
      <c r="I8" s="206">
        <v>30942</v>
      </c>
      <c r="J8" s="612" t="s">
        <v>152</v>
      </c>
      <c r="K8" s="613"/>
    </row>
    <row r="9" spans="1:11" ht="15.75">
      <c r="A9" s="204" t="s">
        <v>130</v>
      </c>
      <c r="B9" s="206">
        <v>193826</v>
      </c>
      <c r="C9" s="206">
        <v>184675</v>
      </c>
      <c r="D9" s="206">
        <v>142306</v>
      </c>
      <c r="E9" s="206">
        <v>149163</v>
      </c>
      <c r="F9" s="206">
        <v>165268</v>
      </c>
      <c r="G9" s="206">
        <v>176717</v>
      </c>
      <c r="H9" s="206">
        <v>178178</v>
      </c>
      <c r="I9" s="206">
        <v>179400</v>
      </c>
      <c r="J9" s="612" t="s">
        <v>153</v>
      </c>
      <c r="K9" s="613"/>
    </row>
    <row r="10" spans="1:11" ht="15.75">
      <c r="A10" s="204" t="s">
        <v>131</v>
      </c>
      <c r="B10" s="205">
        <v>3148826</v>
      </c>
      <c r="C10" s="205">
        <v>3339327</v>
      </c>
      <c r="D10" s="205">
        <v>3560638</v>
      </c>
      <c r="E10" s="205">
        <v>3747573</v>
      </c>
      <c r="F10" s="205">
        <v>3935523</v>
      </c>
      <c r="G10" s="205">
        <v>4120866</v>
      </c>
      <c r="H10" s="205">
        <v>4308186</v>
      </c>
      <c r="I10" s="205">
        <v>4388290</v>
      </c>
      <c r="J10" s="618" t="s">
        <v>154</v>
      </c>
      <c r="K10" s="619"/>
    </row>
    <row r="11" spans="1:11" ht="15.75">
      <c r="A11" s="204" t="s">
        <v>132</v>
      </c>
      <c r="B11" s="205">
        <v>21469875</v>
      </c>
      <c r="C11" s="205">
        <v>22541181</v>
      </c>
      <c r="D11" s="205">
        <f>+D5*3.17+((2418992+61649)*2.23)+(D9*4)</f>
        <v>21592466.2</v>
      </c>
      <c r="E11" s="205">
        <f>+E5*3.17+((2555965+62542)*2.23)+(E9*4)</f>
        <v>22993729.72</v>
      </c>
      <c r="F11" s="205">
        <f>+F5*3.17+((2694834+62709)*2.23)+(F9*4)</f>
        <v>24610697.35</v>
      </c>
      <c r="G11" s="205">
        <f>+G5*3.17+((2838422+63071)*2.23)+(G9*4)</f>
        <v>26771763.06</v>
      </c>
      <c r="H11" s="205">
        <f>+H5*3.17+((62700+2988054)*2.23)+(H9*4)</f>
        <v>29447871.269999996</v>
      </c>
      <c r="I11" s="205">
        <f>+I5*3.17+((63111+3051222)*2.23)+(I9*4)</f>
        <v>30848601.95</v>
      </c>
      <c r="J11" s="618" t="s">
        <v>151</v>
      </c>
      <c r="K11" s="619"/>
    </row>
    <row r="12" spans="1:11" ht="36.75" customHeight="1" thickBot="1">
      <c r="A12" s="208" t="s">
        <v>133</v>
      </c>
      <c r="B12" s="209">
        <f aca="true" t="shared" si="1" ref="B12:I12">+B4+B10+B11</f>
        <v>30974340</v>
      </c>
      <c r="C12" s="209">
        <f t="shared" si="1"/>
        <v>32445675</v>
      </c>
      <c r="D12" s="209">
        <f t="shared" si="1"/>
        <v>31289211.2</v>
      </c>
      <c r="E12" s="209">
        <f t="shared" si="1"/>
        <v>33304489.72</v>
      </c>
      <c r="F12" s="209">
        <f t="shared" si="1"/>
        <v>35296680.35</v>
      </c>
      <c r="G12" s="209">
        <f t="shared" si="1"/>
        <v>37845477.06</v>
      </c>
      <c r="H12" s="209">
        <f t="shared" si="1"/>
        <v>41407762.269999996</v>
      </c>
      <c r="I12" s="209">
        <f t="shared" si="1"/>
        <v>43294103.95</v>
      </c>
      <c r="J12" s="622" t="s">
        <v>155</v>
      </c>
      <c r="K12" s="623"/>
    </row>
    <row r="13" spans="1:11" ht="21.75" customHeight="1" thickBot="1" thickTop="1">
      <c r="A13" s="614" t="s">
        <v>7</v>
      </c>
      <c r="B13" s="615"/>
      <c r="C13" s="616" t="s">
        <v>9</v>
      </c>
      <c r="D13" s="617"/>
      <c r="E13" s="617"/>
      <c r="F13" s="617"/>
      <c r="G13" s="617"/>
      <c r="H13" s="617"/>
      <c r="I13" s="617"/>
      <c r="J13" s="617"/>
      <c r="K13" s="617"/>
    </row>
    <row r="14" spans="1:11" ht="36" customHeight="1" thickTop="1">
      <c r="A14" s="380" t="s">
        <v>0</v>
      </c>
      <c r="B14" s="381" t="s">
        <v>1</v>
      </c>
      <c r="C14" s="620" t="s">
        <v>8</v>
      </c>
      <c r="D14" s="621"/>
      <c r="E14" s="621"/>
      <c r="F14" s="621"/>
      <c r="G14" s="621"/>
      <c r="H14" s="621"/>
      <c r="I14" s="621"/>
      <c r="J14" s="621"/>
      <c r="K14" s="621"/>
    </row>
    <row r="15" spans="1:11" ht="13.5" customHeight="1">
      <c r="A15" s="382">
        <v>1960</v>
      </c>
      <c r="B15" s="383">
        <v>24.3</v>
      </c>
      <c r="C15" s="780" t="s">
        <v>703</v>
      </c>
      <c r="D15" s="781"/>
      <c r="E15" s="781"/>
      <c r="F15" s="781"/>
      <c r="G15" s="782"/>
      <c r="H15" s="782"/>
      <c r="I15" s="782"/>
      <c r="J15" s="782"/>
      <c r="K15" s="782"/>
    </row>
    <row r="16" spans="1:2" ht="13.5" customHeight="1">
      <c r="A16" s="382">
        <v>1965</v>
      </c>
      <c r="B16" s="383">
        <v>16.88</v>
      </c>
    </row>
    <row r="17" spans="1:2" ht="13.5" customHeight="1">
      <c r="A17" s="382">
        <v>1970</v>
      </c>
      <c r="B17" s="383">
        <v>9.03</v>
      </c>
    </row>
    <row r="18" spans="1:2" ht="13.5" customHeight="1">
      <c r="A18" s="382">
        <v>1975</v>
      </c>
      <c r="B18" s="383">
        <v>6.29</v>
      </c>
    </row>
    <row r="19" spans="1:2" ht="13.5" customHeight="1">
      <c r="A19" s="382">
        <v>1980</v>
      </c>
      <c r="B19" s="383">
        <v>3.47</v>
      </c>
    </row>
    <row r="20" spans="1:2" ht="13.5" customHeight="1">
      <c r="A20" s="382">
        <v>1985</v>
      </c>
      <c r="B20" s="383">
        <v>2.45</v>
      </c>
    </row>
    <row r="21" spans="1:2" ht="13.5" customHeight="1">
      <c r="A21" s="382">
        <v>1990</v>
      </c>
      <c r="B21" s="383">
        <v>2.39</v>
      </c>
    </row>
    <row r="22" spans="1:2" ht="13.5" customHeight="1">
      <c r="A22" s="382">
        <v>1995</v>
      </c>
      <c r="B22" s="383">
        <v>2.44</v>
      </c>
    </row>
    <row r="23" spans="1:2" ht="13.5" customHeight="1">
      <c r="A23" s="382">
        <v>1999</v>
      </c>
      <c r="B23" s="383">
        <v>2.02</v>
      </c>
    </row>
    <row r="24" spans="1:2" ht="13.5" customHeight="1">
      <c r="A24" s="382">
        <v>2000</v>
      </c>
      <c r="B24" s="383">
        <v>1.97</v>
      </c>
    </row>
    <row r="25" spans="1:2" ht="13.5" customHeight="1">
      <c r="A25" s="382">
        <v>2001</v>
      </c>
      <c r="B25" s="383">
        <v>1.72</v>
      </c>
    </row>
    <row r="26" spans="1:2" ht="13.5" customHeight="1">
      <c r="A26" s="382">
        <v>2002</v>
      </c>
      <c r="B26" s="383">
        <v>1.75</v>
      </c>
    </row>
    <row r="27" spans="1:2" ht="13.5" customHeight="1">
      <c r="A27" s="382">
        <v>2003</v>
      </c>
      <c r="B27" s="383">
        <v>1.72</v>
      </c>
    </row>
    <row r="28" spans="1:2" ht="14.25" customHeight="1">
      <c r="A28" s="382">
        <v>2004</v>
      </c>
      <c r="B28" s="383">
        <v>1.69</v>
      </c>
    </row>
    <row r="29" spans="1:2" ht="14.25" customHeight="1">
      <c r="A29" s="382">
        <v>2005</v>
      </c>
      <c r="B29" s="383">
        <v>1.75</v>
      </c>
    </row>
    <row r="30" spans="1:2" ht="23.25" customHeight="1" thickBot="1">
      <c r="A30" s="385" t="s">
        <v>695</v>
      </c>
      <c r="B30" s="384">
        <f>+I4/I10</f>
        <v>1.8360709980425176</v>
      </c>
    </row>
    <row r="31" spans="1:12" ht="13.5" customHeight="1" thickTop="1">
      <c r="A31" s="43"/>
      <c r="C31" s="44"/>
      <c r="D31" s="41"/>
      <c r="E31" s="41"/>
      <c r="F31" s="41"/>
      <c r="G31" s="41"/>
      <c r="H31" s="41"/>
      <c r="I31" s="41"/>
      <c r="J31" s="41"/>
      <c r="K31" s="41"/>
      <c r="L31" s="41"/>
    </row>
    <row r="32" ht="11.25" customHeight="1"/>
    <row r="34" spans="2:16" s="110" customFormat="1" ht="15.75">
      <c r="B34" s="110">
        <v>1960</v>
      </c>
      <c r="C34" s="110">
        <v>1965</v>
      </c>
      <c r="D34" s="110">
        <v>1970</v>
      </c>
      <c r="E34" s="110">
        <v>1975</v>
      </c>
      <c r="F34" s="110">
        <v>1980</v>
      </c>
      <c r="G34" s="110">
        <v>1985</v>
      </c>
      <c r="H34" s="110">
        <v>1990</v>
      </c>
      <c r="I34" s="110">
        <v>1995</v>
      </c>
      <c r="J34" s="110">
        <v>1999</v>
      </c>
      <c r="K34" s="110">
        <v>2000</v>
      </c>
      <c r="L34" s="110">
        <v>2001</v>
      </c>
      <c r="M34" s="110">
        <v>2002</v>
      </c>
      <c r="N34" s="110">
        <v>2003</v>
      </c>
      <c r="O34" s="110">
        <v>2004</v>
      </c>
      <c r="P34" s="110">
        <v>2005</v>
      </c>
    </row>
    <row r="35" spans="2:16" s="110" customFormat="1" ht="15.75">
      <c r="B35" s="110">
        <v>24.3</v>
      </c>
      <c r="C35" s="110">
        <v>16.88</v>
      </c>
      <c r="D35" s="110">
        <v>9.03</v>
      </c>
      <c r="E35" s="110">
        <v>6.29</v>
      </c>
      <c r="F35" s="110">
        <v>3.47</v>
      </c>
      <c r="G35" s="110">
        <v>2.45</v>
      </c>
      <c r="H35" s="110">
        <v>2.39</v>
      </c>
      <c r="I35" s="110">
        <v>2.44</v>
      </c>
      <c r="J35" s="110">
        <v>2.02</v>
      </c>
      <c r="K35" s="110">
        <v>1.97</v>
      </c>
      <c r="L35" s="110">
        <v>1.72</v>
      </c>
      <c r="M35" s="110">
        <v>1.75</v>
      </c>
      <c r="N35" s="110">
        <v>1.72</v>
      </c>
      <c r="O35" s="110">
        <v>1.69</v>
      </c>
      <c r="P35" s="110">
        <v>1.75</v>
      </c>
    </row>
  </sheetData>
  <mergeCells count="14">
    <mergeCell ref="C15:K15"/>
    <mergeCell ref="C14:K14"/>
    <mergeCell ref="J10:K10"/>
    <mergeCell ref="J11:K11"/>
    <mergeCell ref="J12:K12"/>
    <mergeCell ref="A13:B13"/>
    <mergeCell ref="C13:K13"/>
    <mergeCell ref="J9:K9"/>
    <mergeCell ref="J4:K4"/>
    <mergeCell ref="J3:K3"/>
    <mergeCell ref="J8:K8"/>
    <mergeCell ref="J7:K7"/>
    <mergeCell ref="J6:K6"/>
    <mergeCell ref="J5:K5"/>
  </mergeCells>
  <printOptions/>
  <pageMargins left="0.34" right="0.75" top="0.65" bottom="0.52" header="0.5" footer="0.5"/>
  <pageSetup horizontalDpi="300" verticalDpi="300" orientation="landscape" paperSize="9" scale="86" r:id="rId2"/>
  <headerFooter alignWithMargins="0">
    <oddFooter>&amp;C13</oddFooter>
  </headerFooter>
  <drawing r:id="rId1"/>
</worksheet>
</file>

<file path=xl/worksheets/sheet16.xml><?xml version="1.0" encoding="utf-8"?>
<worksheet xmlns="http://schemas.openxmlformats.org/spreadsheetml/2006/main" xmlns:r="http://schemas.openxmlformats.org/officeDocument/2006/relationships">
  <sheetPr>
    <tabColor indexed="12"/>
  </sheetPr>
  <dimension ref="A1:F28"/>
  <sheetViews>
    <sheetView showGridLines="0" workbookViewId="0" topLeftCell="A1">
      <selection activeCell="G15" sqref="G15"/>
    </sheetView>
  </sheetViews>
  <sheetFormatPr defaultColWidth="9.00390625" defaultRowHeight="12.75"/>
  <cols>
    <col min="1" max="1" width="22.375" style="1" customWidth="1"/>
    <col min="2" max="2" width="15.625" style="1" customWidth="1"/>
    <col min="3" max="3" width="16.25390625" style="1" customWidth="1"/>
    <col min="4" max="4" width="14.375" style="1" customWidth="1"/>
    <col min="5" max="5" width="13.625" style="1" bestFit="1" customWidth="1"/>
    <col min="6" max="6" width="12.75390625" style="1" customWidth="1"/>
    <col min="7" max="16384" width="9.125" style="1" customWidth="1"/>
  </cols>
  <sheetData>
    <row r="1" spans="1:5" ht="16.5" customHeight="1">
      <c r="A1" s="607" t="s">
        <v>175</v>
      </c>
      <c r="B1" s="565"/>
      <c r="C1" s="565"/>
      <c r="D1" s="565"/>
      <c r="E1" s="565"/>
    </row>
    <row r="2" s="14" customFormat="1" ht="24" customHeight="1" thickBot="1">
      <c r="A2" s="16" t="s">
        <v>12</v>
      </c>
    </row>
    <row r="3" spans="1:5" ht="18.75" customHeight="1" thickTop="1">
      <c r="A3" s="643" t="s">
        <v>11</v>
      </c>
      <c r="B3" s="644"/>
      <c r="C3" s="644"/>
      <c r="D3" s="644"/>
      <c r="E3" s="645"/>
    </row>
    <row r="4" spans="1:5" ht="18" customHeight="1">
      <c r="A4" s="210" t="s">
        <v>172</v>
      </c>
      <c r="B4" s="211" t="s">
        <v>234</v>
      </c>
      <c r="C4" s="634" t="s">
        <v>238</v>
      </c>
      <c r="D4" s="635"/>
      <c r="E4" s="636"/>
    </row>
    <row r="5" spans="1:5" ht="17.25" customHeight="1">
      <c r="A5" s="210" t="s">
        <v>173</v>
      </c>
      <c r="B5" s="212">
        <v>380461500</v>
      </c>
      <c r="C5" s="634" t="s">
        <v>235</v>
      </c>
      <c r="D5" s="635"/>
      <c r="E5" s="636" t="s">
        <v>53</v>
      </c>
    </row>
    <row r="6" spans="1:5" ht="19.5" customHeight="1">
      <c r="A6" s="640" t="s">
        <v>685</v>
      </c>
      <c r="B6" s="641"/>
      <c r="C6" s="641"/>
      <c r="D6" s="641"/>
      <c r="E6" s="642"/>
    </row>
    <row r="7" spans="1:5" ht="17.25" customHeight="1">
      <c r="A7" s="210" t="s">
        <v>174</v>
      </c>
      <c r="B7" s="213">
        <v>481440000</v>
      </c>
      <c r="C7" s="634" t="s">
        <v>240</v>
      </c>
      <c r="D7" s="635"/>
      <c r="E7" s="636"/>
    </row>
    <row r="8" spans="1:5" ht="35.25" customHeight="1" thickBot="1">
      <c r="A8" s="637" t="s">
        <v>15</v>
      </c>
      <c r="B8" s="638"/>
      <c r="C8" s="638"/>
      <c r="D8" s="638"/>
      <c r="E8" s="639"/>
    </row>
    <row r="9" spans="1:3" ht="13.5" thickTop="1">
      <c r="A9" s="46"/>
      <c r="B9" s="45"/>
      <c r="C9" s="45"/>
    </row>
    <row r="10" ht="12.75">
      <c r="E10" s="1" t="s">
        <v>53</v>
      </c>
    </row>
    <row r="11" spans="1:5" ht="19.5" customHeight="1">
      <c r="A11" s="607" t="s">
        <v>436</v>
      </c>
      <c r="B11" s="565"/>
      <c r="C11" s="565"/>
      <c r="D11" s="565"/>
      <c r="E11" s="565" t="s">
        <v>53</v>
      </c>
    </row>
    <row r="12" ht="24.75" customHeight="1" thickBot="1">
      <c r="A12" s="16" t="s">
        <v>14</v>
      </c>
    </row>
    <row r="13" spans="1:6" ht="18.75" customHeight="1" thickTop="1">
      <c r="A13" s="214"/>
      <c r="B13" s="215" t="s">
        <v>166</v>
      </c>
      <c r="C13" s="215" t="s">
        <v>179</v>
      </c>
      <c r="D13" s="215" t="s">
        <v>203</v>
      </c>
      <c r="E13" s="215" t="s">
        <v>233</v>
      </c>
      <c r="F13" s="216" t="s">
        <v>691</v>
      </c>
    </row>
    <row r="14" spans="1:6" ht="19.5" customHeight="1">
      <c r="A14" s="217" t="s">
        <v>165</v>
      </c>
      <c r="B14" s="218">
        <v>142306</v>
      </c>
      <c r="C14" s="218">
        <v>149163</v>
      </c>
      <c r="D14" s="218">
        <v>158034</v>
      </c>
      <c r="E14" s="218">
        <v>176717</v>
      </c>
      <c r="F14" s="219">
        <v>178178</v>
      </c>
    </row>
    <row r="15" spans="1:6" ht="21" customHeight="1">
      <c r="A15" s="217" t="s">
        <v>134</v>
      </c>
      <c r="B15" s="218">
        <v>569224</v>
      </c>
      <c r="C15" s="218">
        <f>+C14*4</f>
        <v>596652</v>
      </c>
      <c r="D15" s="218">
        <f>+D14*4</f>
        <v>632136</v>
      </c>
      <c r="E15" s="218">
        <f>+E14*4</f>
        <v>706868</v>
      </c>
      <c r="F15" s="219">
        <f>+F14*4</f>
        <v>712712</v>
      </c>
    </row>
    <row r="16" spans="1:6" ht="21" customHeight="1">
      <c r="A16" s="217" t="s">
        <v>13</v>
      </c>
      <c r="B16" s="218">
        <f>SUM(B14:B15)</f>
        <v>711530</v>
      </c>
      <c r="C16" s="218">
        <f>SUM(C14:C15)</f>
        <v>745815</v>
      </c>
      <c r="D16" s="218">
        <f>SUM(D14:D15)</f>
        <v>790170</v>
      </c>
      <c r="E16" s="218">
        <f>SUM(E14:E15)</f>
        <v>883585</v>
      </c>
      <c r="F16" s="219">
        <f>SUM(F14:F15)</f>
        <v>890890</v>
      </c>
    </row>
    <row r="17" spans="1:6" ht="53.25" customHeight="1" thickBot="1">
      <c r="A17" s="476" t="s">
        <v>700</v>
      </c>
      <c r="B17" s="477">
        <v>31500000</v>
      </c>
      <c r="C17" s="477">
        <f>+D22</f>
        <v>49137494</v>
      </c>
      <c r="D17" s="477">
        <f>+D24</f>
        <v>68702373</v>
      </c>
      <c r="E17" s="477">
        <f>+D26</f>
        <v>66622500</v>
      </c>
      <c r="F17" s="478">
        <f>+D27</f>
        <v>73305000</v>
      </c>
    </row>
    <row r="18" spans="1:5" ht="15.75" customHeight="1" thickTop="1">
      <c r="A18" s="47"/>
      <c r="B18" s="48"/>
      <c r="C18" s="48"/>
      <c r="D18" s="48"/>
      <c r="E18" s="48"/>
    </row>
    <row r="19" ht="13.5" thickBot="1"/>
    <row r="20" spans="1:5" ht="52.5" customHeight="1" thickTop="1">
      <c r="A20" s="631" t="s">
        <v>176</v>
      </c>
      <c r="B20" s="603"/>
      <c r="C20" s="603"/>
      <c r="D20" s="632" t="s">
        <v>450</v>
      </c>
      <c r="E20" s="633"/>
    </row>
    <row r="21" spans="1:5" ht="24.75" customHeight="1">
      <c r="A21" s="628" t="s">
        <v>167</v>
      </c>
      <c r="B21" s="588"/>
      <c r="C21" s="588"/>
      <c r="D21" s="624">
        <v>41680800</v>
      </c>
      <c r="E21" s="625">
        <f>+(9262400*0.3)*15</f>
        <v>41680800</v>
      </c>
    </row>
    <row r="22" spans="1:5" ht="24.75" customHeight="1">
      <c r="A22" s="628" t="s">
        <v>168</v>
      </c>
      <c r="B22" s="588"/>
      <c r="C22" s="588"/>
      <c r="D22" s="624">
        <v>49137494</v>
      </c>
      <c r="E22" s="625">
        <f>+(10919443*0.3)*15</f>
        <v>49137493.5</v>
      </c>
    </row>
    <row r="23" spans="1:5" ht="24.75" customHeight="1">
      <c r="A23" s="628" t="s">
        <v>164</v>
      </c>
      <c r="B23" s="588"/>
      <c r="C23" s="588"/>
      <c r="D23" s="624">
        <v>58964994</v>
      </c>
      <c r="E23" s="625">
        <f>+(13103332*0.3)*15</f>
        <v>58964993.99999999</v>
      </c>
    </row>
    <row r="24" spans="1:5" ht="24.75" customHeight="1">
      <c r="A24" s="628" t="s">
        <v>201</v>
      </c>
      <c r="B24" s="588"/>
      <c r="C24" s="588"/>
      <c r="D24" s="624">
        <v>68702373</v>
      </c>
      <c r="E24" s="625">
        <f>+(15267194*0.3)*15</f>
        <v>68702373</v>
      </c>
    </row>
    <row r="25" spans="1:5" ht="24.75" customHeight="1">
      <c r="A25" s="628" t="s">
        <v>204</v>
      </c>
      <c r="B25" s="588"/>
      <c r="C25" s="588"/>
      <c r="D25" s="624">
        <v>82444500</v>
      </c>
      <c r="E25" s="625">
        <f>+(18321000*0.3)*15</f>
        <v>82444500</v>
      </c>
    </row>
    <row r="26" spans="1:5" ht="24" customHeight="1">
      <c r="A26" s="628" t="s">
        <v>205</v>
      </c>
      <c r="B26" s="588"/>
      <c r="C26" s="588"/>
      <c r="D26" s="624">
        <v>66622500</v>
      </c>
      <c r="E26" s="625">
        <f>+(14805000*0.3)*15</f>
        <v>66622500</v>
      </c>
    </row>
    <row r="27" spans="1:5" ht="21" customHeight="1">
      <c r="A27" s="628" t="s">
        <v>217</v>
      </c>
      <c r="B27" s="588"/>
      <c r="C27" s="588"/>
      <c r="D27" s="624">
        <v>73305000</v>
      </c>
      <c r="E27" s="625">
        <f>+(16290000*0.3)*15</f>
        <v>73305000</v>
      </c>
    </row>
    <row r="28" spans="1:5" ht="24.75" customHeight="1" thickBot="1">
      <c r="A28" s="629" t="s">
        <v>236</v>
      </c>
      <c r="B28" s="630"/>
      <c r="C28" s="630"/>
      <c r="D28" s="626">
        <v>79650000</v>
      </c>
      <c r="E28" s="627">
        <f>+(17700000*0.3)*15</f>
        <v>79650000</v>
      </c>
    </row>
    <row r="29" ht="13.5" thickTop="1"/>
  </sheetData>
  <mergeCells count="26">
    <mergeCell ref="A1:E1"/>
    <mergeCell ref="A11:E11"/>
    <mergeCell ref="C4:E4"/>
    <mergeCell ref="C5:E5"/>
    <mergeCell ref="C7:E7"/>
    <mergeCell ref="A8:E8"/>
    <mergeCell ref="A6:E6"/>
    <mergeCell ref="A3:E3"/>
    <mergeCell ref="A20:C20"/>
    <mergeCell ref="A21:C21"/>
    <mergeCell ref="A22:C22"/>
    <mergeCell ref="D24:E24"/>
    <mergeCell ref="D20:E20"/>
    <mergeCell ref="D21:E21"/>
    <mergeCell ref="D22:E22"/>
    <mergeCell ref="D25:E25"/>
    <mergeCell ref="D26:E26"/>
    <mergeCell ref="A23:C23"/>
    <mergeCell ref="A24:C24"/>
    <mergeCell ref="A25:C25"/>
    <mergeCell ref="A26:C26"/>
    <mergeCell ref="D23:E23"/>
    <mergeCell ref="D27:E27"/>
    <mergeCell ref="D28:E28"/>
    <mergeCell ref="A27:C27"/>
    <mergeCell ref="A28:C28"/>
  </mergeCells>
  <printOptions/>
  <pageMargins left="0.75" right="0.75" top="1" bottom="1" header="0.5" footer="0.5"/>
  <pageSetup horizontalDpi="300" verticalDpi="300" orientation="portrait" paperSize="9"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sheetPr>
    <tabColor indexed="12"/>
  </sheetPr>
  <dimension ref="A1:I34"/>
  <sheetViews>
    <sheetView showGridLines="0" workbookViewId="0" topLeftCell="A7">
      <selection activeCell="A14" sqref="A14"/>
    </sheetView>
  </sheetViews>
  <sheetFormatPr defaultColWidth="9.00390625" defaultRowHeight="12.75"/>
  <cols>
    <col min="1" max="1" width="2.75390625" style="1" customWidth="1"/>
    <col min="2" max="2" width="17.125" style="1" customWidth="1"/>
    <col min="3" max="3" width="17.00390625" style="1" customWidth="1"/>
    <col min="4" max="4" width="44.00390625" style="1" customWidth="1"/>
    <col min="5" max="5" width="30.125" style="1" customWidth="1"/>
    <col min="6" max="6" width="23.625" style="1" customWidth="1"/>
    <col min="7" max="7" width="13.00390625" style="1" customWidth="1"/>
    <col min="8" max="8" width="12.875" style="1" customWidth="1"/>
    <col min="9" max="9" width="19.875" style="1" customWidth="1"/>
    <col min="10" max="16384" width="9.125" style="1" customWidth="1"/>
  </cols>
  <sheetData>
    <row r="1" spans="1:7" ht="17.25" customHeight="1">
      <c r="A1" s="607" t="s">
        <v>437</v>
      </c>
      <c r="B1" s="565"/>
      <c r="C1" s="565"/>
      <c r="D1" s="565"/>
      <c r="E1" s="565"/>
      <c r="F1" s="565"/>
      <c r="G1" s="565"/>
    </row>
    <row r="2" spans="1:5" ht="18" customHeight="1" thickBot="1">
      <c r="A2" s="548" t="s">
        <v>17</v>
      </c>
      <c r="B2" s="650"/>
      <c r="C2" s="650"/>
      <c r="D2" s="650"/>
      <c r="E2" s="1" t="s">
        <v>53</v>
      </c>
    </row>
    <row r="3" spans="1:7" ht="15.75" customHeight="1" thickTop="1">
      <c r="A3" s="651" t="s">
        <v>16</v>
      </c>
      <c r="B3" s="652"/>
      <c r="C3" s="652"/>
      <c r="D3" s="652"/>
      <c r="E3" s="652"/>
      <c r="F3" s="652"/>
      <c r="G3" s="653"/>
    </row>
    <row r="4" spans="1:8" ht="21" customHeight="1">
      <c r="A4" s="220"/>
      <c r="B4" s="221" t="s">
        <v>193</v>
      </c>
      <c r="C4" s="222">
        <v>531</v>
      </c>
      <c r="D4" s="223" t="s">
        <v>218</v>
      </c>
      <c r="E4" s="224"/>
      <c r="F4" s="224"/>
      <c r="G4" s="225"/>
      <c r="H4" s="49"/>
    </row>
    <row r="5" spans="1:7" ht="15.75" customHeight="1">
      <c r="A5" s="226" t="s">
        <v>159</v>
      </c>
      <c r="B5" s="227" t="s">
        <v>160</v>
      </c>
      <c r="C5" s="227"/>
      <c r="D5" s="227"/>
      <c r="E5" s="227"/>
      <c r="F5" s="228" t="s">
        <v>53</v>
      </c>
      <c r="G5" s="229" t="s">
        <v>53</v>
      </c>
    </row>
    <row r="6" spans="1:7" ht="15.75" customHeight="1">
      <c r="A6" s="230" t="s">
        <v>97</v>
      </c>
      <c r="B6" s="227" t="s">
        <v>180</v>
      </c>
      <c r="C6" s="227"/>
      <c r="D6" s="227"/>
      <c r="E6" s="227" t="s">
        <v>194</v>
      </c>
      <c r="F6" s="231">
        <f>+C4*3</f>
        <v>1593</v>
      </c>
      <c r="G6" s="229" t="s">
        <v>218</v>
      </c>
    </row>
    <row r="7" spans="1:7" ht="15.75" customHeight="1">
      <c r="A7" s="230" t="s">
        <v>97</v>
      </c>
      <c r="B7" s="227" t="s">
        <v>181</v>
      </c>
      <c r="C7" s="227"/>
      <c r="D7" s="227"/>
      <c r="E7" s="227" t="s">
        <v>195</v>
      </c>
      <c r="F7" s="231">
        <f>+C4*2</f>
        <v>1062</v>
      </c>
      <c r="G7" s="229" t="s">
        <v>218</v>
      </c>
    </row>
    <row r="8" spans="1:7" ht="15.75" customHeight="1">
      <c r="A8" s="230" t="s">
        <v>97</v>
      </c>
      <c r="B8" s="227" t="s">
        <v>182</v>
      </c>
      <c r="C8" s="227"/>
      <c r="D8" s="227"/>
      <c r="E8" s="227" t="s">
        <v>196</v>
      </c>
      <c r="F8" s="231">
        <f>+C4*1</f>
        <v>531</v>
      </c>
      <c r="G8" s="229" t="s">
        <v>218</v>
      </c>
    </row>
    <row r="9" spans="1:9" ht="15.75" customHeight="1">
      <c r="A9" s="226" t="s">
        <v>159</v>
      </c>
      <c r="B9" s="227" t="s">
        <v>161</v>
      </c>
      <c r="C9" s="227"/>
      <c r="D9" s="227"/>
      <c r="E9" s="227"/>
      <c r="F9" s="231" t="s">
        <v>53</v>
      </c>
      <c r="G9" s="229" t="s">
        <v>53</v>
      </c>
      <c r="H9" s="50"/>
      <c r="I9" s="51"/>
    </row>
    <row r="10" spans="1:9" ht="15.75" customHeight="1">
      <c r="A10" s="230" t="s">
        <v>97</v>
      </c>
      <c r="B10" s="227" t="s">
        <v>183</v>
      </c>
      <c r="C10" s="227"/>
      <c r="D10" s="227"/>
      <c r="E10" s="227" t="s">
        <v>196</v>
      </c>
      <c r="F10" s="231">
        <f>+C4*1</f>
        <v>531</v>
      </c>
      <c r="G10" s="229" t="s">
        <v>218</v>
      </c>
      <c r="H10" s="50"/>
      <c r="I10" s="51"/>
    </row>
    <row r="11" spans="1:9" ht="15.75" customHeight="1">
      <c r="A11" s="230" t="s">
        <v>97</v>
      </c>
      <c r="B11" s="227" t="s">
        <v>184</v>
      </c>
      <c r="C11" s="227"/>
      <c r="D11" s="227"/>
      <c r="E11" s="227" t="s">
        <v>195</v>
      </c>
      <c r="F11" s="231">
        <f>+C4*2</f>
        <v>1062</v>
      </c>
      <c r="G11" s="229" t="s">
        <v>218</v>
      </c>
      <c r="H11" s="50"/>
      <c r="I11" s="51"/>
    </row>
    <row r="12" spans="1:7" ht="15.75" customHeight="1">
      <c r="A12" s="226" t="s">
        <v>159</v>
      </c>
      <c r="B12" s="227" t="s">
        <v>162</v>
      </c>
      <c r="C12" s="227"/>
      <c r="D12" s="227"/>
      <c r="E12" s="227"/>
      <c r="F12" s="231" t="s">
        <v>53</v>
      </c>
      <c r="G12" s="229" t="s">
        <v>53</v>
      </c>
    </row>
    <row r="13" spans="1:7" ht="15.75" customHeight="1">
      <c r="A13" s="230" t="s">
        <v>97</v>
      </c>
      <c r="B13" s="227" t="s">
        <v>185</v>
      </c>
      <c r="C13" s="227"/>
      <c r="D13" s="227"/>
      <c r="E13" s="227" t="s">
        <v>197</v>
      </c>
      <c r="F13" s="231">
        <f>+C4/5</f>
        <v>106.2</v>
      </c>
      <c r="G13" s="229" t="s">
        <v>218</v>
      </c>
    </row>
    <row r="14" spans="1:7" ht="15.75" customHeight="1">
      <c r="A14" s="230" t="s">
        <v>97</v>
      </c>
      <c r="B14" s="227" t="s">
        <v>186</v>
      </c>
      <c r="C14" s="227"/>
      <c r="D14" s="227"/>
      <c r="E14" s="227" t="s">
        <v>198</v>
      </c>
      <c r="F14" s="231">
        <f>+C4/8</f>
        <v>66.375</v>
      </c>
      <c r="G14" s="229" t="s">
        <v>218</v>
      </c>
    </row>
    <row r="15" spans="1:7" ht="15.75" customHeight="1">
      <c r="A15" s="230" t="s">
        <v>97</v>
      </c>
      <c r="B15" s="227" t="s">
        <v>187</v>
      </c>
      <c r="C15" s="227"/>
      <c r="D15" s="227"/>
      <c r="E15" s="227" t="s">
        <v>194</v>
      </c>
      <c r="F15" s="231">
        <f>+C4*3</f>
        <v>1593</v>
      </c>
      <c r="G15" s="229" t="s">
        <v>218</v>
      </c>
    </row>
    <row r="16" spans="1:7" ht="15.75" customHeight="1">
      <c r="A16" s="230" t="s">
        <v>97</v>
      </c>
      <c r="B16" s="227" t="s">
        <v>214</v>
      </c>
      <c r="C16" s="227"/>
      <c r="D16" s="227"/>
      <c r="E16" s="227"/>
      <c r="F16" s="231"/>
      <c r="G16" s="229" t="s">
        <v>53</v>
      </c>
    </row>
    <row r="17" spans="1:7" ht="15.75" customHeight="1">
      <c r="A17" s="230" t="s">
        <v>53</v>
      </c>
      <c r="B17" s="227" t="s">
        <v>215</v>
      </c>
      <c r="C17" s="227"/>
      <c r="D17" s="227"/>
      <c r="E17" s="227"/>
      <c r="F17" s="231" t="s">
        <v>53</v>
      </c>
      <c r="G17" s="229"/>
    </row>
    <row r="18" spans="1:7" ht="15.75" customHeight="1">
      <c r="A18" s="230"/>
      <c r="B18" s="227" t="s">
        <v>208</v>
      </c>
      <c r="C18" s="227"/>
      <c r="D18" s="227"/>
      <c r="E18" s="227"/>
      <c r="F18" s="231"/>
      <c r="G18" s="229"/>
    </row>
    <row r="19" spans="1:7" ht="15.75" customHeight="1">
      <c r="A19" s="230"/>
      <c r="B19" s="227" t="s">
        <v>210</v>
      </c>
      <c r="C19" s="227"/>
      <c r="D19" s="227"/>
      <c r="E19" s="227"/>
      <c r="F19" s="231"/>
      <c r="G19" s="229"/>
    </row>
    <row r="20" spans="1:7" ht="15.75" customHeight="1">
      <c r="A20" s="230"/>
      <c r="B20" s="227" t="s">
        <v>209</v>
      </c>
      <c r="C20" s="227"/>
      <c r="D20" s="227"/>
      <c r="E20" s="227" t="s">
        <v>194</v>
      </c>
      <c r="F20" s="231">
        <f>+C4*3</f>
        <v>1593</v>
      </c>
      <c r="G20" s="229" t="s">
        <v>218</v>
      </c>
    </row>
    <row r="21" spans="1:7" ht="15.75" customHeight="1">
      <c r="A21" s="230" t="s">
        <v>97</v>
      </c>
      <c r="B21" s="227" t="s">
        <v>211</v>
      </c>
      <c r="C21" s="227"/>
      <c r="D21" s="227"/>
      <c r="E21" s="227"/>
      <c r="F21" s="231"/>
      <c r="G21" s="229" t="s">
        <v>53</v>
      </c>
    </row>
    <row r="22" spans="1:7" ht="15.75" customHeight="1">
      <c r="A22" s="230"/>
      <c r="B22" s="227" t="s">
        <v>212</v>
      </c>
      <c r="C22" s="227"/>
      <c r="D22" s="227"/>
      <c r="E22" s="227"/>
      <c r="F22" s="231"/>
      <c r="G22" s="229"/>
    </row>
    <row r="23" spans="1:7" ht="15.75" customHeight="1">
      <c r="A23" s="230"/>
      <c r="B23" s="227" t="s">
        <v>213</v>
      </c>
      <c r="C23" s="227"/>
      <c r="D23" s="227"/>
      <c r="E23" s="227" t="s">
        <v>194</v>
      </c>
      <c r="F23" s="231">
        <f>+C4*3</f>
        <v>1593</v>
      </c>
      <c r="G23" s="229" t="s">
        <v>218</v>
      </c>
    </row>
    <row r="24" spans="1:7" ht="15.75" customHeight="1">
      <c r="A24" s="226" t="s">
        <v>159</v>
      </c>
      <c r="B24" s="227" t="s">
        <v>188</v>
      </c>
      <c r="C24" s="227"/>
      <c r="D24" s="227"/>
      <c r="E24" s="227"/>
      <c r="F24" s="228" t="s">
        <v>53</v>
      </c>
      <c r="G24" s="229" t="s">
        <v>53</v>
      </c>
    </row>
    <row r="25" spans="1:7" ht="15.75" customHeight="1">
      <c r="A25" s="230" t="s">
        <v>97</v>
      </c>
      <c r="B25" s="646" t="s">
        <v>189</v>
      </c>
      <c r="C25" s="647"/>
      <c r="D25" s="647"/>
      <c r="E25" s="227" t="s">
        <v>199</v>
      </c>
      <c r="F25" s="231">
        <f>+C4*12</f>
        <v>6372</v>
      </c>
      <c r="G25" s="229" t="s">
        <v>218</v>
      </c>
    </row>
    <row r="26" spans="1:7" ht="15.75" customHeight="1">
      <c r="A26" s="230" t="s">
        <v>97</v>
      </c>
      <c r="B26" s="227" t="s">
        <v>190</v>
      </c>
      <c r="C26" s="227"/>
      <c r="D26" s="227"/>
      <c r="E26" s="227" t="s">
        <v>200</v>
      </c>
      <c r="F26" s="231">
        <f>+C4*6</f>
        <v>3186</v>
      </c>
      <c r="G26" s="229" t="s">
        <v>218</v>
      </c>
    </row>
    <row r="27" spans="1:9" ht="15.75" customHeight="1">
      <c r="A27" s="230" t="s">
        <v>97</v>
      </c>
      <c r="B27" s="227" t="s">
        <v>191</v>
      </c>
      <c r="C27" s="227"/>
      <c r="D27" s="227"/>
      <c r="E27" s="227" t="s">
        <v>194</v>
      </c>
      <c r="F27" s="231">
        <f>+C4*3</f>
        <v>1593</v>
      </c>
      <c r="G27" s="229" t="s">
        <v>218</v>
      </c>
      <c r="I27" s="52"/>
    </row>
    <row r="28" spans="1:9" ht="15.75" customHeight="1">
      <c r="A28" s="226" t="s">
        <v>159</v>
      </c>
      <c r="B28" s="648" t="s">
        <v>206</v>
      </c>
      <c r="C28" s="649"/>
      <c r="D28" s="649"/>
      <c r="E28" s="649"/>
      <c r="F28" s="649"/>
      <c r="G28" s="654"/>
      <c r="I28" s="52"/>
    </row>
    <row r="29" spans="1:9" ht="15.75" customHeight="1">
      <c r="A29" s="230" t="s">
        <v>97</v>
      </c>
      <c r="B29" s="646" t="s">
        <v>189</v>
      </c>
      <c r="C29" s="647"/>
      <c r="D29" s="647"/>
      <c r="E29" s="227" t="s">
        <v>207</v>
      </c>
      <c r="F29" s="231">
        <f>+C4*1/2</f>
        <v>265.5</v>
      </c>
      <c r="G29" s="229" t="s">
        <v>218</v>
      </c>
      <c r="I29" s="52"/>
    </row>
    <row r="30" spans="1:9" ht="15.75" customHeight="1">
      <c r="A30" s="230" t="s">
        <v>97</v>
      </c>
      <c r="B30" s="227" t="s">
        <v>190</v>
      </c>
      <c r="C30" s="227"/>
      <c r="D30" s="227"/>
      <c r="E30" s="227" t="s">
        <v>207</v>
      </c>
      <c r="F30" s="231">
        <f>+C4*1/2</f>
        <v>265.5</v>
      </c>
      <c r="G30" s="229" t="s">
        <v>218</v>
      </c>
      <c r="I30" s="52"/>
    </row>
    <row r="31" spans="1:9" ht="15.75" customHeight="1">
      <c r="A31" s="230" t="s">
        <v>97</v>
      </c>
      <c r="B31" s="227" t="s">
        <v>191</v>
      </c>
      <c r="C31" s="227"/>
      <c r="D31" s="227"/>
      <c r="E31" s="227" t="s">
        <v>207</v>
      </c>
      <c r="F31" s="231">
        <f>+C4*1/2</f>
        <v>265.5</v>
      </c>
      <c r="G31" s="229" t="s">
        <v>218</v>
      </c>
      <c r="I31" s="52"/>
    </row>
    <row r="32" spans="1:7" ht="29.25" customHeight="1">
      <c r="A32" s="226" t="s">
        <v>159</v>
      </c>
      <c r="B32" s="648" t="s">
        <v>192</v>
      </c>
      <c r="C32" s="649"/>
      <c r="D32" s="649"/>
      <c r="E32" s="227" t="s">
        <v>195</v>
      </c>
      <c r="F32" s="231">
        <f>+C4*2</f>
        <v>1062</v>
      </c>
      <c r="G32" s="229" t="s">
        <v>218</v>
      </c>
    </row>
    <row r="33" spans="1:7" ht="15.75" customHeight="1" thickBot="1">
      <c r="A33" s="232" t="s">
        <v>159</v>
      </c>
      <c r="B33" s="233" t="s">
        <v>163</v>
      </c>
      <c r="C33" s="233"/>
      <c r="D33" s="233"/>
      <c r="E33" s="233" t="s">
        <v>196</v>
      </c>
      <c r="F33" s="234">
        <f>+C4*1</f>
        <v>531</v>
      </c>
      <c r="G33" s="235" t="s">
        <v>218</v>
      </c>
    </row>
    <row r="34" spans="4:8" ht="13.5" thickTop="1">
      <c r="D34" s="40"/>
      <c r="E34" s="40"/>
      <c r="H34" s="40"/>
    </row>
  </sheetData>
  <mergeCells count="7">
    <mergeCell ref="B29:D29"/>
    <mergeCell ref="B32:D32"/>
    <mergeCell ref="A1:G1"/>
    <mergeCell ref="A2:D2"/>
    <mergeCell ref="A3:G3"/>
    <mergeCell ref="B25:D25"/>
    <mergeCell ref="B28:G28"/>
  </mergeCells>
  <printOptions/>
  <pageMargins left="0.75" right="0.75" top="1" bottom="1" header="0.5" footer="0.5"/>
  <pageSetup horizontalDpi="300" verticalDpi="300" orientation="landscape" paperSize="9" scale="83"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sheetPr>
    <tabColor indexed="12"/>
  </sheetPr>
  <dimension ref="A1:J52"/>
  <sheetViews>
    <sheetView showGridLines="0" zoomScale="115" zoomScaleNormal="115" workbookViewId="0" topLeftCell="B37">
      <selection activeCell="D43" sqref="D43"/>
    </sheetView>
  </sheetViews>
  <sheetFormatPr defaultColWidth="9.00390625" defaultRowHeight="12.75"/>
  <cols>
    <col min="1" max="1" width="20.00390625" style="6" customWidth="1"/>
    <col min="2" max="2" width="8.125" style="6" customWidth="1"/>
    <col min="3" max="3" width="12.75390625" style="6" customWidth="1"/>
    <col min="4" max="4" width="13.00390625" style="6" customWidth="1"/>
    <col min="5" max="5" width="19.125" style="6" customWidth="1"/>
    <col min="6" max="6" width="7.75390625" style="6" customWidth="1"/>
    <col min="7" max="7" width="16.00390625" style="6" customWidth="1"/>
    <col min="8" max="16384" width="9.125" style="6" customWidth="1"/>
  </cols>
  <sheetData>
    <row r="1" spans="1:7" ht="45" customHeight="1">
      <c r="A1" s="664" t="s">
        <v>438</v>
      </c>
      <c r="B1" s="665"/>
      <c r="C1" s="665"/>
      <c r="D1" s="665"/>
      <c r="E1" s="665"/>
      <c r="F1" s="665"/>
      <c r="G1" s="665"/>
    </row>
    <row r="2" spans="1:5" ht="15.75" customHeight="1" thickBot="1">
      <c r="A2" s="659" t="s">
        <v>19</v>
      </c>
      <c r="B2" s="660"/>
      <c r="C2" s="660"/>
      <c r="D2" s="660"/>
      <c r="E2" s="660"/>
    </row>
    <row r="3" spans="1:7" ht="19.5" customHeight="1" thickTop="1">
      <c r="A3" s="53" t="s">
        <v>135</v>
      </c>
      <c r="B3" s="54"/>
      <c r="C3" s="54" t="s">
        <v>136</v>
      </c>
      <c r="D3" s="54" t="s">
        <v>137</v>
      </c>
      <c r="E3" s="54" t="s">
        <v>135</v>
      </c>
      <c r="F3" s="54"/>
      <c r="G3" s="55" t="s">
        <v>222</v>
      </c>
    </row>
    <row r="4" spans="1:7" ht="28.5" customHeight="1">
      <c r="A4" s="67" t="s">
        <v>171</v>
      </c>
      <c r="B4" s="68"/>
      <c r="C4" s="69"/>
      <c r="D4" s="69"/>
      <c r="E4" s="70" t="s">
        <v>171</v>
      </c>
      <c r="F4" s="68"/>
      <c r="G4" s="71"/>
    </row>
    <row r="5" spans="1:7" ht="16.5" customHeight="1">
      <c r="A5" s="59"/>
      <c r="B5" s="66" t="s">
        <v>139</v>
      </c>
      <c r="C5" s="57">
        <v>3790000</v>
      </c>
      <c r="D5" s="57">
        <v>6070000</v>
      </c>
      <c r="E5" s="60"/>
      <c r="F5" s="66" t="s">
        <v>139</v>
      </c>
      <c r="G5" s="58">
        <v>3120000</v>
      </c>
    </row>
    <row r="6" spans="1:7" ht="16.5" customHeight="1">
      <c r="A6" s="61" t="s">
        <v>53</v>
      </c>
      <c r="B6" s="66" t="s">
        <v>140</v>
      </c>
      <c r="C6" s="57">
        <f>+C5*30</f>
        <v>113700000</v>
      </c>
      <c r="D6" s="57">
        <f>+D5*30</f>
        <v>182100000</v>
      </c>
      <c r="E6" s="62" t="s">
        <v>53</v>
      </c>
      <c r="F6" s="66" t="s">
        <v>140</v>
      </c>
      <c r="G6" s="58">
        <f>+G5*30</f>
        <v>93600000</v>
      </c>
    </row>
    <row r="7" spans="1:7" ht="16.5" customHeight="1">
      <c r="A7" s="72" t="s">
        <v>170</v>
      </c>
      <c r="B7" s="73"/>
      <c r="C7" s="69"/>
      <c r="D7" s="69"/>
      <c r="E7" s="68" t="s">
        <v>225</v>
      </c>
      <c r="F7" s="73"/>
      <c r="G7" s="71"/>
    </row>
    <row r="8" spans="1:7" ht="16.5" customHeight="1">
      <c r="A8" s="63"/>
      <c r="B8" s="66" t="s">
        <v>139</v>
      </c>
      <c r="C8" s="57">
        <v>4000000</v>
      </c>
      <c r="D8" s="57">
        <f>+C8*3</f>
        <v>12000000</v>
      </c>
      <c r="E8" s="56"/>
      <c r="F8" s="66" t="s">
        <v>139</v>
      </c>
      <c r="G8" s="58">
        <v>3660000</v>
      </c>
    </row>
    <row r="9" spans="1:7" ht="16.5" customHeight="1">
      <c r="A9" s="63"/>
      <c r="B9" s="66" t="s">
        <v>140</v>
      </c>
      <c r="C9" s="57">
        <f>+C8*30</f>
        <v>120000000</v>
      </c>
      <c r="D9" s="57">
        <f>+D8*30</f>
        <v>360000000</v>
      </c>
      <c r="E9" s="56"/>
      <c r="F9" s="66" t="s">
        <v>140</v>
      </c>
      <c r="G9" s="58">
        <f>+G8*30</f>
        <v>109800000</v>
      </c>
    </row>
    <row r="10" spans="1:7" ht="16.5" customHeight="1">
      <c r="A10" s="72" t="s">
        <v>177</v>
      </c>
      <c r="B10" s="73"/>
      <c r="C10" s="68"/>
      <c r="D10" s="68"/>
      <c r="E10" s="68" t="s">
        <v>223</v>
      </c>
      <c r="F10" s="73"/>
      <c r="G10" s="71"/>
    </row>
    <row r="11" spans="1:7" ht="16.5" customHeight="1">
      <c r="A11" s="63"/>
      <c r="B11" s="66" t="s">
        <v>139</v>
      </c>
      <c r="C11" s="57">
        <v>5000000</v>
      </c>
      <c r="D11" s="57">
        <f>+C11*3</f>
        <v>15000000</v>
      </c>
      <c r="E11" s="56"/>
      <c r="F11" s="66" t="s">
        <v>139</v>
      </c>
      <c r="G11" s="58">
        <v>3960000</v>
      </c>
    </row>
    <row r="12" spans="1:7" ht="16.5" customHeight="1">
      <c r="A12" s="63"/>
      <c r="B12" s="66" t="s">
        <v>140</v>
      </c>
      <c r="C12" s="57">
        <f>+C11*30</f>
        <v>150000000</v>
      </c>
      <c r="D12" s="57">
        <f>+D11*30</f>
        <v>450000000</v>
      </c>
      <c r="E12" s="56"/>
      <c r="F12" s="66" t="s">
        <v>140</v>
      </c>
      <c r="G12" s="58">
        <f>+G11*30</f>
        <v>118800000</v>
      </c>
    </row>
    <row r="13" spans="1:7" ht="16.5" customHeight="1">
      <c r="A13" s="72" t="s">
        <v>178</v>
      </c>
      <c r="B13" s="73"/>
      <c r="C13" s="68"/>
      <c r="D13" s="68"/>
      <c r="E13" s="68" t="s">
        <v>224</v>
      </c>
      <c r="F13" s="73"/>
      <c r="G13" s="71"/>
    </row>
    <row r="14" spans="1:10" ht="16.5" customHeight="1">
      <c r="A14" s="63"/>
      <c r="B14" s="66" t="s">
        <v>139</v>
      </c>
      <c r="C14" s="57">
        <v>5000000</v>
      </c>
      <c r="D14" s="57">
        <f>+C14*4</f>
        <v>20000000</v>
      </c>
      <c r="E14" s="56"/>
      <c r="F14" s="66" t="s">
        <v>139</v>
      </c>
      <c r="G14" s="58">
        <v>4665000</v>
      </c>
      <c r="H14" s="74"/>
      <c r="I14" s="74"/>
      <c r="J14" s="74"/>
    </row>
    <row r="15" spans="1:10" ht="16.5" customHeight="1">
      <c r="A15" s="63"/>
      <c r="B15" s="66" t="s">
        <v>140</v>
      </c>
      <c r="C15" s="57">
        <f>+C14*30</f>
        <v>150000000</v>
      </c>
      <c r="D15" s="57">
        <f>+D14*30</f>
        <v>600000000</v>
      </c>
      <c r="E15" s="56"/>
      <c r="F15" s="66" t="s">
        <v>140</v>
      </c>
      <c r="G15" s="58">
        <f>+G14*30</f>
        <v>139950000</v>
      </c>
      <c r="H15" s="74"/>
      <c r="I15" s="74"/>
      <c r="J15" s="74"/>
    </row>
    <row r="16" spans="1:10" ht="16.5" customHeight="1">
      <c r="A16" s="72" t="s">
        <v>138</v>
      </c>
      <c r="B16" s="73"/>
      <c r="C16" s="68"/>
      <c r="D16" s="68"/>
      <c r="E16" s="68" t="s">
        <v>226</v>
      </c>
      <c r="F16" s="73"/>
      <c r="G16" s="71"/>
      <c r="H16" s="74"/>
      <c r="I16" s="74"/>
      <c r="J16" s="74"/>
    </row>
    <row r="17" spans="1:10" ht="16.5" customHeight="1">
      <c r="A17" s="63"/>
      <c r="B17" s="66" t="s">
        <v>139</v>
      </c>
      <c r="C17" s="57">
        <v>7000000</v>
      </c>
      <c r="D17" s="57">
        <v>35000000</v>
      </c>
      <c r="E17" s="56"/>
      <c r="F17" s="66" t="s">
        <v>139</v>
      </c>
      <c r="G17" s="58">
        <v>4898250</v>
      </c>
      <c r="H17" s="74"/>
      <c r="I17" s="74"/>
      <c r="J17" s="74"/>
    </row>
    <row r="18" spans="1:7" ht="16.5" customHeight="1">
      <c r="A18" s="63"/>
      <c r="B18" s="66" t="s">
        <v>140</v>
      </c>
      <c r="C18" s="57">
        <v>210000000</v>
      </c>
      <c r="D18" s="57">
        <v>1050000000</v>
      </c>
      <c r="E18" s="56"/>
      <c r="F18" s="66" t="s">
        <v>140</v>
      </c>
      <c r="G18" s="58">
        <f>+G17*30</f>
        <v>146947500</v>
      </c>
    </row>
    <row r="19" spans="1:7" ht="16.5" customHeight="1">
      <c r="A19" s="72" t="s">
        <v>141</v>
      </c>
      <c r="B19" s="73"/>
      <c r="C19" s="69"/>
      <c r="D19" s="69"/>
      <c r="E19" s="68" t="s">
        <v>227</v>
      </c>
      <c r="F19" s="73"/>
      <c r="G19" s="71"/>
    </row>
    <row r="20" spans="1:7" ht="16.5" customHeight="1">
      <c r="A20" s="63"/>
      <c r="B20" s="66" t="s">
        <v>139</v>
      </c>
      <c r="C20" s="57">
        <v>9262400</v>
      </c>
      <c r="D20" s="57">
        <v>46312000</v>
      </c>
      <c r="E20" s="56"/>
      <c r="F20" s="66" t="s">
        <v>139</v>
      </c>
      <c r="G20" s="58">
        <v>5598000</v>
      </c>
    </row>
    <row r="21" spans="1:7" ht="16.5" customHeight="1">
      <c r="A21" s="63"/>
      <c r="B21" s="66" t="s">
        <v>140</v>
      </c>
      <c r="C21" s="57">
        <v>277872000</v>
      </c>
      <c r="D21" s="57">
        <v>1389360000</v>
      </c>
      <c r="E21" s="56"/>
      <c r="F21" s="66" t="s">
        <v>140</v>
      </c>
      <c r="G21" s="58">
        <f>+G20*30</f>
        <v>167940000</v>
      </c>
    </row>
    <row r="22" spans="1:7" ht="16.5" customHeight="1">
      <c r="A22" s="72" t="s">
        <v>142</v>
      </c>
      <c r="B22" s="73"/>
      <c r="C22" s="69"/>
      <c r="D22" s="69"/>
      <c r="E22" s="68" t="s">
        <v>228</v>
      </c>
      <c r="F22" s="73"/>
      <c r="G22" s="71"/>
    </row>
    <row r="23" spans="1:7" ht="16.5" customHeight="1">
      <c r="A23" s="63"/>
      <c r="B23" s="66" t="s">
        <v>139</v>
      </c>
      <c r="C23" s="57">
        <v>10919443</v>
      </c>
      <c r="D23" s="57">
        <v>54597215</v>
      </c>
      <c r="E23" s="56"/>
      <c r="F23" s="66" t="s">
        <v>139</v>
      </c>
      <c r="G23" s="58">
        <v>7400025</v>
      </c>
    </row>
    <row r="24" spans="1:7" ht="16.5" customHeight="1">
      <c r="A24" s="63"/>
      <c r="B24" s="66" t="s">
        <v>140</v>
      </c>
      <c r="C24" s="57">
        <v>327583290</v>
      </c>
      <c r="D24" s="57">
        <v>1637916450</v>
      </c>
      <c r="E24" s="56"/>
      <c r="F24" s="66" t="s">
        <v>140</v>
      </c>
      <c r="G24" s="58">
        <f>+G23*30</f>
        <v>222000750</v>
      </c>
    </row>
    <row r="25" spans="1:7" ht="16.5" customHeight="1">
      <c r="A25" s="72" t="s">
        <v>164</v>
      </c>
      <c r="B25" s="73"/>
      <c r="C25" s="69"/>
      <c r="D25" s="69"/>
      <c r="E25" s="68" t="s">
        <v>229</v>
      </c>
      <c r="F25" s="73"/>
      <c r="G25" s="71"/>
    </row>
    <row r="26" spans="1:7" ht="16.5" customHeight="1">
      <c r="A26" s="63"/>
      <c r="B26" s="66" t="s">
        <v>139</v>
      </c>
      <c r="C26" s="57">
        <v>13103332</v>
      </c>
      <c r="D26" s="57">
        <f>+C26*5</f>
        <v>65516660</v>
      </c>
      <c r="E26" s="56"/>
      <c r="F26" s="66" t="s">
        <v>139</v>
      </c>
      <c r="G26" s="58">
        <v>8362500</v>
      </c>
    </row>
    <row r="27" spans="1:7" ht="16.5" customHeight="1">
      <c r="A27" s="63"/>
      <c r="B27" s="66" t="s">
        <v>140</v>
      </c>
      <c r="C27" s="57">
        <f>+C26*30</f>
        <v>393099960</v>
      </c>
      <c r="D27" s="57">
        <f>+D26*30</f>
        <v>1965499800</v>
      </c>
      <c r="E27" s="56"/>
      <c r="F27" s="66" t="s">
        <v>140</v>
      </c>
      <c r="G27" s="58">
        <f>+G26*30</f>
        <v>250875000</v>
      </c>
    </row>
    <row r="28" spans="1:7" ht="16.5" customHeight="1">
      <c r="A28" s="72" t="s">
        <v>201</v>
      </c>
      <c r="B28" s="73"/>
      <c r="C28" s="69"/>
      <c r="D28" s="69"/>
      <c r="E28" s="68" t="s">
        <v>230</v>
      </c>
      <c r="F28" s="73"/>
      <c r="G28" s="71"/>
    </row>
    <row r="29" spans="1:7" ht="16.5" customHeight="1">
      <c r="A29" s="63"/>
      <c r="B29" s="66" t="s">
        <v>139</v>
      </c>
      <c r="C29" s="57">
        <v>15267194</v>
      </c>
      <c r="D29" s="57">
        <f>+C29*5</f>
        <v>76335970</v>
      </c>
      <c r="E29" s="56"/>
      <c r="F29" s="66" t="s">
        <v>139</v>
      </c>
      <c r="G29" s="58">
        <v>10200000</v>
      </c>
    </row>
    <row r="30" spans="1:7" ht="16.5" customHeight="1">
      <c r="A30" s="63"/>
      <c r="B30" s="66" t="s">
        <v>140</v>
      </c>
      <c r="C30" s="57">
        <f>+C29*30</f>
        <v>458015820</v>
      </c>
      <c r="D30" s="57">
        <f>+D29*30</f>
        <v>2290079100</v>
      </c>
      <c r="E30" s="56"/>
      <c r="F30" s="66" t="s">
        <v>140</v>
      </c>
      <c r="G30" s="58">
        <f>+G29*30</f>
        <v>306000000</v>
      </c>
    </row>
    <row r="31" spans="1:7" ht="16.5" customHeight="1">
      <c r="A31" s="72" t="s">
        <v>204</v>
      </c>
      <c r="B31" s="73"/>
      <c r="C31" s="69"/>
      <c r="D31" s="69"/>
      <c r="E31" s="68" t="s">
        <v>204</v>
      </c>
      <c r="F31" s="73"/>
      <c r="G31" s="71"/>
    </row>
    <row r="32" spans="1:7" ht="16.5" customHeight="1">
      <c r="A32" s="63"/>
      <c r="B32" s="66" t="s">
        <v>139</v>
      </c>
      <c r="C32" s="57">
        <v>18321000</v>
      </c>
      <c r="D32" s="57">
        <f>+C32*5</f>
        <v>91605000</v>
      </c>
      <c r="E32" s="56"/>
      <c r="F32" s="66" t="s">
        <v>139</v>
      </c>
      <c r="G32" s="58">
        <v>14100000</v>
      </c>
    </row>
    <row r="33" spans="1:7" ht="16.5" customHeight="1">
      <c r="A33" s="63"/>
      <c r="B33" s="66" t="s">
        <v>140</v>
      </c>
      <c r="C33" s="57">
        <f>+C32*30</f>
        <v>549630000</v>
      </c>
      <c r="D33" s="57">
        <f>+D32*30</f>
        <v>2748150000</v>
      </c>
      <c r="E33" s="56"/>
      <c r="F33" s="66" t="s">
        <v>140</v>
      </c>
      <c r="G33" s="58">
        <f>+G32*30</f>
        <v>423000000</v>
      </c>
    </row>
    <row r="34" spans="1:7" ht="16.5" customHeight="1">
      <c r="A34" s="72" t="s">
        <v>205</v>
      </c>
      <c r="B34" s="73"/>
      <c r="C34" s="69"/>
      <c r="D34" s="69"/>
      <c r="E34" s="68" t="s">
        <v>205</v>
      </c>
      <c r="F34" s="73"/>
      <c r="G34" s="71"/>
    </row>
    <row r="35" spans="1:7" ht="16.5" customHeight="1">
      <c r="A35" s="63"/>
      <c r="B35" s="66" t="s">
        <v>139</v>
      </c>
      <c r="C35" s="57">
        <v>14805000</v>
      </c>
      <c r="D35" s="57">
        <f>+C35*6.5</f>
        <v>96232500</v>
      </c>
      <c r="E35" s="56"/>
      <c r="F35" s="66" t="s">
        <v>139</v>
      </c>
      <c r="G35" s="58">
        <v>14805000</v>
      </c>
    </row>
    <row r="36" spans="1:7" ht="16.5" customHeight="1">
      <c r="A36" s="63"/>
      <c r="B36" s="66" t="s">
        <v>140</v>
      </c>
      <c r="C36" s="57">
        <f>+C35*30</f>
        <v>444150000</v>
      </c>
      <c r="D36" s="57">
        <f>+D35*30</f>
        <v>2886975000</v>
      </c>
      <c r="E36" s="56"/>
      <c r="F36" s="66" t="s">
        <v>140</v>
      </c>
      <c r="G36" s="58">
        <f>+G35*30</f>
        <v>444150000</v>
      </c>
    </row>
    <row r="37" spans="1:7" ht="15.75" customHeight="1">
      <c r="A37" s="72" t="s">
        <v>217</v>
      </c>
      <c r="B37" s="73"/>
      <c r="C37" s="69"/>
      <c r="D37" s="69"/>
      <c r="E37" s="68" t="s">
        <v>217</v>
      </c>
      <c r="F37" s="73"/>
      <c r="G37" s="71"/>
    </row>
    <row r="38" spans="1:7" ht="22.5" customHeight="1">
      <c r="A38" s="661"/>
      <c r="B38" s="657" t="s">
        <v>139</v>
      </c>
      <c r="C38" s="57">
        <v>16290000</v>
      </c>
      <c r="D38" s="57">
        <f>+C38*6.5+5000</f>
        <v>105890000</v>
      </c>
      <c r="E38" s="56"/>
      <c r="F38" s="66" t="s">
        <v>139</v>
      </c>
      <c r="G38" s="58">
        <v>16290000</v>
      </c>
    </row>
    <row r="39" spans="1:7" ht="17.25" customHeight="1">
      <c r="A39" s="662"/>
      <c r="B39" s="657"/>
      <c r="C39" s="57" t="s">
        <v>219</v>
      </c>
      <c r="D39" s="57" t="s">
        <v>220</v>
      </c>
      <c r="E39" s="56"/>
      <c r="F39" s="66" t="s">
        <v>140</v>
      </c>
      <c r="G39" s="58">
        <f>+G38*30</f>
        <v>488700000</v>
      </c>
    </row>
    <row r="40" spans="1:7" ht="21" customHeight="1">
      <c r="A40" s="661"/>
      <c r="B40" s="657" t="s">
        <v>140</v>
      </c>
      <c r="C40" s="57">
        <f>+C38*30</f>
        <v>488700000</v>
      </c>
      <c r="D40" s="57">
        <f>+D38*30</f>
        <v>3176700000</v>
      </c>
      <c r="E40" s="655"/>
      <c r="F40" s="657"/>
      <c r="G40" s="58"/>
    </row>
    <row r="41" spans="1:7" ht="21" customHeight="1">
      <c r="A41" s="662"/>
      <c r="B41" s="657"/>
      <c r="C41" s="57" t="s">
        <v>216</v>
      </c>
      <c r="D41" s="57" t="s">
        <v>221</v>
      </c>
      <c r="E41" s="666"/>
      <c r="F41" s="657"/>
      <c r="G41" s="58"/>
    </row>
    <row r="42" spans="1:7" ht="13.5" customHeight="1">
      <c r="A42" s="72" t="s">
        <v>236</v>
      </c>
      <c r="B42" s="73"/>
      <c r="C42" s="69"/>
      <c r="D42" s="69"/>
      <c r="E42" s="68" t="s">
        <v>236</v>
      </c>
      <c r="F42" s="73"/>
      <c r="G42" s="71"/>
    </row>
    <row r="43" spans="1:7" ht="19.5" customHeight="1">
      <c r="A43" s="661"/>
      <c r="B43" s="657" t="s">
        <v>139</v>
      </c>
      <c r="C43" s="57">
        <v>17700000</v>
      </c>
      <c r="D43" s="57">
        <f>+C43*6.5</f>
        <v>115050000</v>
      </c>
      <c r="E43" s="56"/>
      <c r="F43" s="66" t="s">
        <v>139</v>
      </c>
      <c r="G43" s="58">
        <v>17700000</v>
      </c>
    </row>
    <row r="44" spans="1:7" ht="17.25" customHeight="1">
      <c r="A44" s="662"/>
      <c r="B44" s="657"/>
      <c r="C44" s="57" t="s">
        <v>237</v>
      </c>
      <c r="D44" s="57" t="s">
        <v>241</v>
      </c>
      <c r="E44" s="56"/>
      <c r="F44" s="66" t="s">
        <v>140</v>
      </c>
      <c r="G44" s="58">
        <f>+G43*30</f>
        <v>531000000</v>
      </c>
    </row>
    <row r="45" spans="1:7" ht="24" customHeight="1">
      <c r="A45" s="661"/>
      <c r="B45" s="657" t="s">
        <v>140</v>
      </c>
      <c r="C45" s="57">
        <f>+C43*30</f>
        <v>531000000</v>
      </c>
      <c r="D45" s="57">
        <f>+D43*30</f>
        <v>3451500000</v>
      </c>
      <c r="E45" s="655"/>
      <c r="F45" s="657"/>
      <c r="G45" s="58"/>
    </row>
    <row r="46" spans="1:7" ht="21" customHeight="1" thickBot="1">
      <c r="A46" s="663"/>
      <c r="B46" s="658"/>
      <c r="C46" s="64" t="s">
        <v>238</v>
      </c>
      <c r="D46" s="64" t="s">
        <v>239</v>
      </c>
      <c r="E46" s="656"/>
      <c r="F46" s="658"/>
      <c r="G46" s="65"/>
    </row>
    <row r="47" ht="13.5" customHeight="1" thickTop="1"/>
    <row r="48" ht="13.5" customHeight="1"/>
    <row r="49" ht="13.5" customHeight="1"/>
    <row r="50" ht="13.5" customHeight="1"/>
    <row r="51" ht="13.5" customHeight="1"/>
    <row r="52" ht="13.5" customHeight="1">
      <c r="G52" s="6" t="s">
        <v>53</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mergeCells count="14">
    <mergeCell ref="A1:G1"/>
    <mergeCell ref="A38:A39"/>
    <mergeCell ref="B38:B39"/>
    <mergeCell ref="A40:A41"/>
    <mergeCell ref="B40:B41"/>
    <mergeCell ref="E40:E41"/>
    <mergeCell ref="F40:F41"/>
    <mergeCell ref="E45:E46"/>
    <mergeCell ref="F45:F46"/>
    <mergeCell ref="A2:E2"/>
    <mergeCell ref="A43:A44"/>
    <mergeCell ref="B43:B44"/>
    <mergeCell ref="A45:A46"/>
    <mergeCell ref="B45:B46"/>
  </mergeCells>
  <printOptions/>
  <pageMargins left="0.7480314960629921" right="0.7480314960629921" top="0.1968503937007874" bottom="0.984251968503937" header="0.5118110236220472" footer="0.5118110236220472"/>
  <pageSetup horizontalDpi="300" verticalDpi="300" orientation="portrait" paperSize="9" scale="90"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sheetPr>
    <tabColor indexed="12"/>
  </sheetPr>
  <dimension ref="A1:K53"/>
  <sheetViews>
    <sheetView showGridLines="0" workbookViewId="0" topLeftCell="B31">
      <selection activeCell="K35" sqref="K35"/>
    </sheetView>
  </sheetViews>
  <sheetFormatPr defaultColWidth="9.00390625" defaultRowHeight="12.75"/>
  <cols>
    <col min="1" max="1" width="19.375" style="14" customWidth="1"/>
    <col min="2" max="2" width="9.25390625" style="14" customWidth="1"/>
    <col min="3" max="3" width="9.375" style="14" customWidth="1"/>
    <col min="4" max="5" width="8.875" style="14" customWidth="1"/>
    <col min="6" max="6" width="8.75390625" style="14" customWidth="1"/>
    <col min="7" max="7" width="8.375" style="14" customWidth="1"/>
    <col min="8" max="8" width="10.125" style="14" customWidth="1"/>
    <col min="9" max="9" width="8.875" style="14" customWidth="1"/>
    <col min="10" max="10" width="10.00390625" style="14" customWidth="1"/>
    <col min="11" max="11" width="8.875" style="14" customWidth="1"/>
    <col min="12" max="16384" width="9.125" style="14" customWidth="1"/>
  </cols>
  <sheetData>
    <row r="1" spans="1:11" s="76" customFormat="1" ht="29.25" customHeight="1">
      <c r="A1" s="607" t="s">
        <v>439</v>
      </c>
      <c r="B1" s="667"/>
      <c r="C1" s="667"/>
      <c r="D1" s="667"/>
      <c r="E1" s="667"/>
      <c r="F1" s="667"/>
      <c r="G1" s="667"/>
      <c r="H1" s="667"/>
      <c r="I1" s="667"/>
      <c r="J1" s="667"/>
      <c r="K1" s="667"/>
    </row>
    <row r="2" ht="16.5" thickBot="1">
      <c r="A2" s="16" t="s">
        <v>20</v>
      </c>
    </row>
    <row r="3" spans="1:11" s="4" customFormat="1" ht="57" customHeight="1" thickTop="1">
      <c r="A3" s="236" t="s">
        <v>143</v>
      </c>
      <c r="B3" s="237">
        <v>2002</v>
      </c>
      <c r="C3" s="238" t="s">
        <v>202</v>
      </c>
      <c r="D3" s="237">
        <v>2003</v>
      </c>
      <c r="E3" s="238" t="s">
        <v>202</v>
      </c>
      <c r="F3" s="237">
        <v>2004</v>
      </c>
      <c r="G3" s="238" t="s">
        <v>202</v>
      </c>
      <c r="H3" s="237">
        <v>2005</v>
      </c>
      <c r="I3" s="238" t="s">
        <v>202</v>
      </c>
      <c r="J3" s="237" t="s">
        <v>682</v>
      </c>
      <c r="K3" s="239" t="s">
        <v>202</v>
      </c>
    </row>
    <row r="4" spans="1:11" s="4" customFormat="1" ht="15">
      <c r="A4" s="240" t="s">
        <v>231</v>
      </c>
      <c r="B4" s="241">
        <v>62542</v>
      </c>
      <c r="C4" s="242">
        <f aca="true" t="shared" si="0" ref="C4:C9">+B4/$B$9*100</f>
        <v>1.668866757231947</v>
      </c>
      <c r="D4" s="243">
        <v>62709</v>
      </c>
      <c r="E4" s="242">
        <f aca="true" t="shared" si="1" ref="E4:E9">+D4/$D$9*100</f>
        <v>1.593409567165533</v>
      </c>
      <c r="F4" s="243">
        <v>63071</v>
      </c>
      <c r="G4" s="242">
        <f>+(F4/$F$9)*100</f>
        <v>1.5305278065338692</v>
      </c>
      <c r="H4" s="243">
        <v>62700</v>
      </c>
      <c r="I4" s="242">
        <f>+(H4/$H$9)*100</f>
        <v>1.4553689186121492</v>
      </c>
      <c r="J4" s="243">
        <v>63218</v>
      </c>
      <c r="K4" s="244">
        <f>+(J4/$J$9)*100</f>
        <v>1.4357011721251685</v>
      </c>
    </row>
    <row r="5" spans="1:11" s="4" customFormat="1" ht="15">
      <c r="A5" s="240" t="s">
        <v>232</v>
      </c>
      <c r="B5" s="241">
        <v>2555965</v>
      </c>
      <c r="C5" s="242">
        <f t="shared" si="0"/>
        <v>68.20320778274366</v>
      </c>
      <c r="D5" s="243">
        <v>2694834</v>
      </c>
      <c r="E5" s="242">
        <f t="shared" si="1"/>
        <v>68.47460934671199</v>
      </c>
      <c r="F5" s="243">
        <v>2838422</v>
      </c>
      <c r="G5" s="242">
        <f>+(F5/$F$9)*100</f>
        <v>68.87925984489668</v>
      </c>
      <c r="H5" s="243">
        <v>2988054</v>
      </c>
      <c r="I5" s="242">
        <f>+(H5/$H$9)*100</f>
        <v>69.3575904104419</v>
      </c>
      <c r="J5" s="243">
        <v>3064987</v>
      </c>
      <c r="K5" s="244">
        <f>+(J5/$J$9)*100</f>
        <v>69.60684343776146</v>
      </c>
    </row>
    <row r="6" spans="1:11" s="4" customFormat="1" ht="15">
      <c r="A6" s="240" t="s">
        <v>145</v>
      </c>
      <c r="B6" s="241">
        <v>1002706</v>
      </c>
      <c r="C6" s="242">
        <f t="shared" si="0"/>
        <v>26.75614324257326</v>
      </c>
      <c r="D6" s="243">
        <v>1051052</v>
      </c>
      <c r="E6" s="242">
        <f t="shared" si="1"/>
        <v>26.706793480815637</v>
      </c>
      <c r="F6" s="243">
        <v>1091904</v>
      </c>
      <c r="G6" s="242">
        <f>+(F6/$F$9)*100</f>
        <v>26.496954766303976</v>
      </c>
      <c r="H6" s="243">
        <v>1130420</v>
      </c>
      <c r="I6" s="242">
        <f>+(H6/$H$9)*100</f>
        <v>26.238885693421775</v>
      </c>
      <c r="J6" s="243">
        <v>1147558</v>
      </c>
      <c r="K6" s="244">
        <f>+(J6/$J$9)*100</f>
        <v>26.061412345876395</v>
      </c>
    </row>
    <row r="7" spans="1:11" s="4" customFormat="1" ht="15">
      <c r="A7" s="240" t="s">
        <v>169</v>
      </c>
      <c r="B7" s="241">
        <v>51431</v>
      </c>
      <c r="C7" s="242">
        <f t="shared" si="0"/>
        <v>1.3723815386651574</v>
      </c>
      <c r="D7" s="243">
        <v>51959</v>
      </c>
      <c r="E7" s="242">
        <f t="shared" si="1"/>
        <v>1.3202565453181192</v>
      </c>
      <c r="F7" s="243">
        <v>53063</v>
      </c>
      <c r="G7" s="242">
        <f>+(F7/$F$9)*100</f>
        <v>1.2876662332626199</v>
      </c>
      <c r="H7" s="243">
        <v>53584</v>
      </c>
      <c r="I7" s="242">
        <f>+(H7/$H$9)*100</f>
        <v>1.2437717405887303</v>
      </c>
      <c r="J7" s="243">
        <v>54418</v>
      </c>
      <c r="K7" s="244">
        <f>+(J7/$J$9)*100</f>
        <v>1.2358503335237974</v>
      </c>
    </row>
    <row r="8" spans="1:11" s="4" customFormat="1" ht="24" customHeight="1">
      <c r="A8" s="217" t="s">
        <v>147</v>
      </c>
      <c r="B8" s="241">
        <v>74929</v>
      </c>
      <c r="C8" s="242">
        <f t="shared" si="0"/>
        <v>1.9994006787859768</v>
      </c>
      <c r="D8" s="243">
        <v>74969</v>
      </c>
      <c r="E8" s="242">
        <f t="shared" si="1"/>
        <v>1.9049310599887233</v>
      </c>
      <c r="F8" s="243">
        <v>74406</v>
      </c>
      <c r="G8" s="242">
        <f>+(F8/$F$9)*100</f>
        <v>1.8055913490028552</v>
      </c>
      <c r="H8" s="243">
        <v>73428</v>
      </c>
      <c r="I8" s="242">
        <f>+(H8/$H$9)*100</f>
        <v>1.7043832369354528</v>
      </c>
      <c r="J8" s="243">
        <v>73103</v>
      </c>
      <c r="K8" s="244">
        <f>+(J8/$J$9)*100</f>
        <v>1.6601927107131857</v>
      </c>
    </row>
    <row r="9" spans="1:11" s="4" customFormat="1" ht="15.75" thickBot="1">
      <c r="A9" s="245" t="s">
        <v>29</v>
      </c>
      <c r="B9" s="246">
        <f>SUM(B4:B8)</f>
        <v>3747573</v>
      </c>
      <c r="C9" s="247">
        <f t="shared" si="0"/>
        <v>100</v>
      </c>
      <c r="D9" s="246">
        <f>SUM(D4:D8)</f>
        <v>3935523</v>
      </c>
      <c r="E9" s="247">
        <f t="shared" si="1"/>
        <v>100</v>
      </c>
      <c r="F9" s="246">
        <f>SUM(F4:F8)</f>
        <v>4120866</v>
      </c>
      <c r="G9" s="247">
        <f>+F9/$F$9*100</f>
        <v>100</v>
      </c>
      <c r="H9" s="246">
        <f>SUM(H4:H8)</f>
        <v>4308186</v>
      </c>
      <c r="I9" s="247">
        <f>+H9/$H$9*100</f>
        <v>100</v>
      </c>
      <c r="J9" s="246">
        <f>SUM(J4:J8)</f>
        <v>4403284</v>
      </c>
      <c r="K9" s="248">
        <f>SUM(K4:K8)</f>
        <v>100</v>
      </c>
    </row>
    <row r="10" ht="16.5" thickTop="1"/>
    <row r="29" spans="1:11" ht="18" customHeight="1">
      <c r="A29" s="668" t="s">
        <v>158</v>
      </c>
      <c r="B29" s="565"/>
      <c r="C29" s="565"/>
      <c r="D29" s="565"/>
      <c r="E29" s="565"/>
      <c r="F29" s="565"/>
      <c r="G29" s="565"/>
      <c r="H29" s="565"/>
      <c r="I29" s="565"/>
      <c r="J29" s="565"/>
      <c r="K29" s="565"/>
    </row>
    <row r="30" ht="19.5" customHeight="1" thickBot="1">
      <c r="A30" s="16" t="s">
        <v>21</v>
      </c>
    </row>
    <row r="31" spans="1:11" ht="28.5" customHeight="1" thickTop="1">
      <c r="A31" s="669" t="s">
        <v>143</v>
      </c>
      <c r="B31" s="670"/>
      <c r="C31" s="670"/>
      <c r="D31" s="670"/>
      <c r="E31" s="670"/>
      <c r="F31" s="249">
        <v>2000</v>
      </c>
      <c r="G31" s="249">
        <v>2001</v>
      </c>
      <c r="H31" s="249">
        <v>2002</v>
      </c>
      <c r="I31" s="249">
        <v>2003</v>
      </c>
      <c r="J31" s="249">
        <v>2004</v>
      </c>
      <c r="K31" s="128">
        <v>2005</v>
      </c>
    </row>
    <row r="32" spans="1:11" ht="15.75">
      <c r="A32" s="674" t="s">
        <v>146</v>
      </c>
      <c r="B32" s="675"/>
      <c r="C32" s="675"/>
      <c r="D32" s="675"/>
      <c r="E32" s="676"/>
      <c r="F32" s="250">
        <v>5185</v>
      </c>
      <c r="G32" s="251">
        <v>5539</v>
      </c>
      <c r="H32" s="251">
        <v>5079</v>
      </c>
      <c r="I32" s="251">
        <v>4385</v>
      </c>
      <c r="J32" s="251">
        <v>3987</v>
      </c>
      <c r="K32" s="252">
        <v>3715</v>
      </c>
    </row>
    <row r="33" spans="1:11" ht="15.75">
      <c r="A33" s="674" t="s">
        <v>144</v>
      </c>
      <c r="B33" s="675"/>
      <c r="C33" s="675"/>
      <c r="D33" s="675"/>
      <c r="E33" s="676"/>
      <c r="F33" s="251">
        <v>188628</v>
      </c>
      <c r="G33" s="251">
        <v>209281</v>
      </c>
      <c r="H33" s="251">
        <v>182759</v>
      </c>
      <c r="I33" s="251">
        <v>177792</v>
      </c>
      <c r="J33" s="251">
        <v>169913</v>
      </c>
      <c r="K33" s="252">
        <v>201696</v>
      </c>
    </row>
    <row r="34" spans="1:11" ht="15.75">
      <c r="A34" s="674" t="s">
        <v>22</v>
      </c>
      <c r="B34" s="675"/>
      <c r="C34" s="675"/>
      <c r="D34" s="675"/>
      <c r="E34" s="676"/>
      <c r="F34" s="251">
        <v>94113</v>
      </c>
      <c r="G34" s="251">
        <v>86534</v>
      </c>
      <c r="H34" s="251">
        <v>91138</v>
      </c>
      <c r="I34" s="251">
        <v>92065</v>
      </c>
      <c r="J34" s="251">
        <v>80992</v>
      </c>
      <c r="K34" s="252">
        <v>95622</v>
      </c>
    </row>
    <row r="35" spans="1:11" ht="15.75" customHeight="1">
      <c r="A35" s="674" t="s">
        <v>169</v>
      </c>
      <c r="B35" s="675"/>
      <c r="C35" s="675"/>
      <c r="D35" s="675"/>
      <c r="E35" s="676"/>
      <c r="F35" s="251">
        <v>1818</v>
      </c>
      <c r="G35" s="251">
        <v>2183</v>
      </c>
      <c r="H35" s="251">
        <v>2087</v>
      </c>
      <c r="I35" s="251">
        <v>1596</v>
      </c>
      <c r="J35" s="251">
        <v>1693</v>
      </c>
      <c r="K35" s="252">
        <v>1639</v>
      </c>
    </row>
    <row r="36" spans="1:11" ht="19.5" customHeight="1">
      <c r="A36" s="674" t="s">
        <v>23</v>
      </c>
      <c r="B36" s="675"/>
      <c r="C36" s="675"/>
      <c r="D36" s="675"/>
      <c r="E36" s="676"/>
      <c r="F36" s="251">
        <v>4045</v>
      </c>
      <c r="G36" s="251">
        <v>3754</v>
      </c>
      <c r="H36" s="251">
        <v>3413</v>
      </c>
      <c r="I36" s="251">
        <v>3000</v>
      </c>
      <c r="J36" s="251">
        <v>3087</v>
      </c>
      <c r="K36" s="252">
        <v>3736</v>
      </c>
    </row>
    <row r="37" spans="1:11" ht="23.25" customHeight="1" thickBot="1">
      <c r="A37" s="671" t="s">
        <v>29</v>
      </c>
      <c r="B37" s="672"/>
      <c r="C37" s="672"/>
      <c r="D37" s="672"/>
      <c r="E37" s="673"/>
      <c r="F37" s="253">
        <f aca="true" t="shared" si="2" ref="F37:K37">SUM(F32:F36)</f>
        <v>293789</v>
      </c>
      <c r="G37" s="253">
        <f t="shared" si="2"/>
        <v>307291</v>
      </c>
      <c r="H37" s="253">
        <f t="shared" si="2"/>
        <v>284476</v>
      </c>
      <c r="I37" s="253">
        <f t="shared" si="2"/>
        <v>278838</v>
      </c>
      <c r="J37" s="253">
        <f t="shared" si="2"/>
        <v>259672</v>
      </c>
      <c r="K37" s="254">
        <f t="shared" si="2"/>
        <v>306408</v>
      </c>
    </row>
    <row r="38" ht="16.5" thickTop="1"/>
    <row r="53" ht="18.75">
      <c r="C53" s="75" t="s">
        <v>53</v>
      </c>
    </row>
  </sheetData>
  <mergeCells count="9">
    <mergeCell ref="A1:K1"/>
    <mergeCell ref="A29:K29"/>
    <mergeCell ref="A31:E31"/>
    <mergeCell ref="A37:E37"/>
    <mergeCell ref="A32:E32"/>
    <mergeCell ref="A33:E33"/>
    <mergeCell ref="A34:E34"/>
    <mergeCell ref="A35:E35"/>
    <mergeCell ref="A36:E36"/>
  </mergeCells>
  <printOptions/>
  <pageMargins left="0.7480314960629921" right="0.7480314960629921" top="0.984251968503937" bottom="0.984251968503937" header="0.5118110236220472" footer="0.5118110236220472"/>
  <pageSetup horizontalDpi="300" verticalDpi="300" orientation="portrait" paperSize="9" scale="75" r:id="rId2"/>
  <headerFooter alignWithMargins="0">
    <oddFooter>&amp;C17</oddFooter>
  </headerFooter>
  <ignoredErrors>
    <ignoredError sqref="B9 F37:K37 E38:H39 C38:D39" formulaRange="1"/>
    <ignoredError sqref="C9:K9" formula="1" formulaRange="1"/>
  </ignoredErrors>
  <drawing r:id="rId1"/>
</worksheet>
</file>

<file path=xl/worksheets/sheet2.xml><?xml version="1.0" encoding="utf-8"?>
<worksheet xmlns="http://schemas.openxmlformats.org/spreadsheetml/2006/main" xmlns:r="http://schemas.openxmlformats.org/officeDocument/2006/relationships">
  <sheetPr>
    <tabColor indexed="12"/>
  </sheetPr>
  <dimension ref="A2:C30"/>
  <sheetViews>
    <sheetView showGridLines="0" workbookViewId="0" topLeftCell="A2">
      <selection activeCell="A9" sqref="A9"/>
    </sheetView>
  </sheetViews>
  <sheetFormatPr defaultColWidth="9.00390625" defaultRowHeight="12.75"/>
  <cols>
    <col min="1" max="1" width="68.375" style="8" customWidth="1"/>
    <col min="2" max="2" width="5.875" style="1" customWidth="1"/>
    <col min="3" max="3" width="13.375" style="1" customWidth="1"/>
    <col min="4" max="16384" width="9.125" style="1" customWidth="1"/>
  </cols>
  <sheetData>
    <row r="1" ht="12.75" hidden="1"/>
    <row r="2" spans="1:3" ht="24" customHeight="1">
      <c r="A2" s="511" t="s">
        <v>376</v>
      </c>
      <c r="B2" s="512"/>
      <c r="C2" s="512"/>
    </row>
    <row r="3" spans="1:3" ht="28.5" customHeight="1" thickBot="1">
      <c r="A3" s="340"/>
      <c r="B3" s="341" t="s">
        <v>377</v>
      </c>
      <c r="C3" s="342" t="s">
        <v>378</v>
      </c>
    </row>
    <row r="4" spans="1:3" ht="15" customHeight="1">
      <c r="A4" s="343" t="s">
        <v>379</v>
      </c>
      <c r="B4" s="344">
        <v>1</v>
      </c>
      <c r="C4" s="345" t="s">
        <v>97</v>
      </c>
    </row>
    <row r="5" spans="1:3" ht="24.75" customHeight="1">
      <c r="A5" s="343" t="s">
        <v>380</v>
      </c>
      <c r="B5" s="344">
        <v>2</v>
      </c>
      <c r="C5" s="346" t="s">
        <v>381</v>
      </c>
    </row>
    <row r="6" spans="1:3" ht="23.25" customHeight="1">
      <c r="A6" s="343" t="s">
        <v>676</v>
      </c>
      <c r="B6" s="347">
        <v>3</v>
      </c>
      <c r="C6" s="346" t="s">
        <v>382</v>
      </c>
    </row>
    <row r="7" spans="1:3" ht="22.5" customHeight="1">
      <c r="A7" s="343" t="s">
        <v>677</v>
      </c>
      <c r="B7" s="344">
        <v>3</v>
      </c>
      <c r="C7" s="346" t="s">
        <v>383</v>
      </c>
    </row>
    <row r="8" spans="1:3" ht="24.75" customHeight="1">
      <c r="A8" s="343" t="s">
        <v>678</v>
      </c>
      <c r="B8" s="344">
        <v>4</v>
      </c>
      <c r="C8" s="346" t="s">
        <v>384</v>
      </c>
    </row>
    <row r="9" spans="1:3" ht="24.75" customHeight="1">
      <c r="A9" s="343" t="s">
        <v>679</v>
      </c>
      <c r="B9" s="344">
        <v>5</v>
      </c>
      <c r="C9" s="346" t="s">
        <v>385</v>
      </c>
    </row>
    <row r="10" spans="1:3" s="8" customFormat="1" ht="24.75" customHeight="1">
      <c r="A10" s="343" t="s">
        <v>386</v>
      </c>
      <c r="B10" s="344">
        <v>6</v>
      </c>
      <c r="C10" s="346" t="s">
        <v>387</v>
      </c>
    </row>
    <row r="11" spans="1:3" s="8" customFormat="1" ht="24.75" customHeight="1">
      <c r="A11" s="343" t="s">
        <v>407</v>
      </c>
      <c r="B11" s="344">
        <v>7</v>
      </c>
      <c r="C11" s="346" t="s">
        <v>388</v>
      </c>
    </row>
    <row r="12" spans="1:3" s="8" customFormat="1" ht="24.75" customHeight="1">
      <c r="A12" s="343" t="s">
        <v>398</v>
      </c>
      <c r="B12" s="344">
        <v>8</v>
      </c>
      <c r="C12" s="346" t="s">
        <v>389</v>
      </c>
    </row>
    <row r="13" spans="1:3" ht="24.75" customHeight="1">
      <c r="A13" s="343" t="s">
        <v>399</v>
      </c>
      <c r="B13" s="344">
        <v>9</v>
      </c>
      <c r="C13" s="346" t="s">
        <v>390</v>
      </c>
    </row>
    <row r="14" spans="1:3" ht="24.75" customHeight="1">
      <c r="A14" s="343" t="s">
        <v>400</v>
      </c>
      <c r="B14" s="344">
        <v>10</v>
      </c>
      <c r="C14" s="346" t="s">
        <v>391</v>
      </c>
    </row>
    <row r="15" spans="1:3" ht="27" customHeight="1">
      <c r="A15" s="343" t="s">
        <v>401</v>
      </c>
      <c r="B15" s="344">
        <v>11</v>
      </c>
      <c r="C15" s="346" t="s">
        <v>410</v>
      </c>
    </row>
    <row r="16" spans="1:3" ht="27" customHeight="1">
      <c r="A16" s="343" t="s">
        <v>402</v>
      </c>
      <c r="B16" s="348">
        <v>12</v>
      </c>
      <c r="C16" s="346" t="s">
        <v>411</v>
      </c>
    </row>
    <row r="17" spans="1:3" ht="21" customHeight="1">
      <c r="A17" s="343" t="s">
        <v>392</v>
      </c>
      <c r="B17" s="344">
        <v>13</v>
      </c>
      <c r="C17" s="346" t="s">
        <v>412</v>
      </c>
    </row>
    <row r="18" spans="1:3" ht="20.25" customHeight="1">
      <c r="A18" s="343" t="s">
        <v>393</v>
      </c>
      <c r="B18" s="344">
        <v>14</v>
      </c>
      <c r="C18" s="346" t="s">
        <v>413</v>
      </c>
    </row>
    <row r="19" spans="1:3" ht="21" customHeight="1">
      <c r="A19" s="343" t="s">
        <v>394</v>
      </c>
      <c r="B19" s="344">
        <v>15</v>
      </c>
      <c r="C19" s="346" t="s">
        <v>414</v>
      </c>
    </row>
    <row r="20" spans="1:3" ht="20.25" customHeight="1">
      <c r="A20" s="343" t="s">
        <v>404</v>
      </c>
      <c r="B20" s="344">
        <v>16</v>
      </c>
      <c r="C20" s="346" t="s">
        <v>415</v>
      </c>
    </row>
    <row r="21" spans="1:3" ht="24.75" customHeight="1">
      <c r="A21" s="343" t="s">
        <v>395</v>
      </c>
      <c r="B21" s="344">
        <v>17</v>
      </c>
      <c r="C21" s="346" t="s">
        <v>416</v>
      </c>
    </row>
    <row r="22" spans="1:3" ht="24.75" customHeight="1">
      <c r="A22" s="343" t="s">
        <v>403</v>
      </c>
      <c r="B22" s="344">
        <v>18</v>
      </c>
      <c r="C22" s="346" t="s">
        <v>417</v>
      </c>
    </row>
    <row r="23" spans="1:3" ht="24.75" customHeight="1">
      <c r="A23" s="343" t="s">
        <v>405</v>
      </c>
      <c r="B23" s="348">
        <v>19</v>
      </c>
      <c r="C23" s="346" t="s">
        <v>418</v>
      </c>
    </row>
    <row r="24" spans="1:3" ht="24.75" customHeight="1">
      <c r="A24" s="343" t="s">
        <v>409</v>
      </c>
      <c r="B24" s="344">
        <v>20</v>
      </c>
      <c r="C24" s="346" t="s">
        <v>396</v>
      </c>
    </row>
    <row r="25" spans="1:3" ht="24.75" customHeight="1">
      <c r="A25" s="343" t="s">
        <v>408</v>
      </c>
      <c r="B25" s="344">
        <v>21</v>
      </c>
      <c r="C25" s="346" t="s">
        <v>419</v>
      </c>
    </row>
    <row r="26" spans="1:3" ht="24.75" customHeight="1">
      <c r="A26" s="343" t="s">
        <v>406</v>
      </c>
      <c r="B26" s="344">
        <v>22</v>
      </c>
      <c r="C26" s="346" t="s">
        <v>452</v>
      </c>
    </row>
    <row r="27" spans="1:3" ht="25.5" customHeight="1">
      <c r="A27" s="343" t="s">
        <v>397</v>
      </c>
      <c r="B27" s="344">
        <v>22</v>
      </c>
      <c r="C27" s="346" t="s">
        <v>451</v>
      </c>
    </row>
    <row r="28" spans="1:3" ht="21" customHeight="1">
      <c r="A28" s="343" t="s">
        <v>683</v>
      </c>
      <c r="B28" s="344">
        <v>23</v>
      </c>
      <c r="C28" s="346" t="s">
        <v>637</v>
      </c>
    </row>
    <row r="29" spans="1:3" ht="27.75" customHeight="1">
      <c r="A29" s="343" t="s">
        <v>680</v>
      </c>
      <c r="B29" s="344">
        <v>24</v>
      </c>
      <c r="C29" s="346" t="s">
        <v>638</v>
      </c>
    </row>
    <row r="30" spans="1:3" ht="24" customHeight="1">
      <c r="A30" s="343" t="s">
        <v>681</v>
      </c>
      <c r="B30" s="344">
        <v>25</v>
      </c>
      <c r="C30" s="346" t="s">
        <v>672</v>
      </c>
    </row>
  </sheetData>
  <mergeCells count="1">
    <mergeCell ref="A2:C2"/>
  </mergeCells>
  <printOptions/>
  <pageMargins left="0.7480314960629921" right="0.3937007874015748" top="0.984251968503937" bottom="0.984251968503937" header="0.5118110236220472" footer="0.5118110236220472"/>
  <pageSetup horizontalDpi="300" verticalDpi="300" orientation="portrait" paperSize="9" r:id="rId1"/>
  <ignoredErrors>
    <ignoredError sqref="C5:C14 C17 C19:C26" numberStoredAsText="1"/>
  </ignoredErrors>
</worksheet>
</file>

<file path=xl/worksheets/sheet20.xml><?xml version="1.0" encoding="utf-8"?>
<worksheet xmlns="http://schemas.openxmlformats.org/spreadsheetml/2006/main" xmlns:r="http://schemas.openxmlformats.org/officeDocument/2006/relationships">
  <sheetPr>
    <tabColor indexed="12"/>
  </sheetPr>
  <dimension ref="A1:P74"/>
  <sheetViews>
    <sheetView showGridLines="0" workbookViewId="0" topLeftCell="A76">
      <selection activeCell="D66" sqref="D66"/>
    </sheetView>
  </sheetViews>
  <sheetFormatPr defaultColWidth="9.00390625" defaultRowHeight="12.75"/>
  <cols>
    <col min="1" max="1" width="27.25390625" style="81" customWidth="1"/>
    <col min="2" max="2" width="17.375" style="81" customWidth="1"/>
    <col min="3" max="3" width="16.375" style="81" customWidth="1"/>
    <col min="4" max="4" width="10.375" style="81" customWidth="1"/>
    <col min="5" max="5" width="11.875" style="81" customWidth="1"/>
    <col min="6" max="7" width="9.125" style="81" customWidth="1"/>
    <col min="8" max="8" width="10.75390625" style="81" customWidth="1"/>
    <col min="9" max="16384" width="9.125" style="81" customWidth="1"/>
  </cols>
  <sheetData>
    <row r="1" spans="1:16" ht="15.75" customHeight="1">
      <c r="A1" s="677" t="s">
        <v>440</v>
      </c>
      <c r="B1" s="678"/>
      <c r="C1" s="678"/>
      <c r="D1" s="678"/>
      <c r="E1" s="678"/>
      <c r="G1" s="388"/>
      <c r="H1" s="388"/>
      <c r="I1" s="388"/>
      <c r="J1" s="388"/>
      <c r="K1" s="111"/>
      <c r="L1" s="111"/>
      <c r="M1" s="111"/>
      <c r="N1" s="111"/>
      <c r="O1" s="111"/>
      <c r="P1" s="111"/>
    </row>
    <row r="2" spans="1:16" s="14" customFormat="1" ht="19.5" customHeight="1">
      <c r="A2" s="16" t="s">
        <v>297</v>
      </c>
      <c r="G2" s="389"/>
      <c r="H2" s="390" t="s">
        <v>485</v>
      </c>
      <c r="I2" s="390" t="s">
        <v>486</v>
      </c>
      <c r="J2" s="389"/>
      <c r="K2" s="110"/>
      <c r="L2" s="110"/>
      <c r="M2" s="110"/>
      <c r="N2" s="110"/>
      <c r="O2" s="110"/>
      <c r="P2" s="110"/>
    </row>
    <row r="3" spans="1:16" ht="39" customHeight="1">
      <c r="A3" s="82" t="s">
        <v>242</v>
      </c>
      <c r="B3" s="82" t="s">
        <v>294</v>
      </c>
      <c r="C3" s="82" t="s">
        <v>483</v>
      </c>
      <c r="D3" s="82" t="s">
        <v>484</v>
      </c>
      <c r="E3" s="82" t="s">
        <v>286</v>
      </c>
      <c r="G3" s="388">
        <v>2000</v>
      </c>
      <c r="H3" s="388">
        <v>43.7</v>
      </c>
      <c r="I3" s="388">
        <v>39</v>
      </c>
      <c r="J3" s="388"/>
      <c r="K3" s="111"/>
      <c r="L3" s="111"/>
      <c r="M3" s="111"/>
      <c r="N3" s="111"/>
      <c r="O3" s="111"/>
      <c r="P3" s="111"/>
    </row>
    <row r="4" spans="1:16" ht="12.75">
      <c r="A4" s="52" t="s">
        <v>243</v>
      </c>
      <c r="B4" s="83">
        <v>88975810</v>
      </c>
      <c r="C4" s="83">
        <v>168610000</v>
      </c>
      <c r="D4" s="83"/>
      <c r="E4" s="84"/>
      <c r="G4" s="111">
        <v>2001</v>
      </c>
      <c r="H4" s="111">
        <v>67.3</v>
      </c>
      <c r="I4" s="111">
        <v>68.5</v>
      </c>
      <c r="J4" s="111"/>
      <c r="K4" s="111"/>
      <c r="L4" s="111"/>
      <c r="M4" s="111"/>
      <c r="N4" s="111"/>
      <c r="O4" s="111"/>
      <c r="P4" s="111"/>
    </row>
    <row r="5" spans="1:16" ht="12.75">
      <c r="A5" s="85" t="s">
        <v>244</v>
      </c>
      <c r="B5" s="86">
        <v>119051010</v>
      </c>
      <c r="C5" s="86">
        <v>214168461</v>
      </c>
      <c r="D5" s="86"/>
      <c r="E5" s="87"/>
      <c r="G5" s="111">
        <v>2002</v>
      </c>
      <c r="H5" s="111">
        <v>31.9</v>
      </c>
      <c r="I5" s="111">
        <v>29.7</v>
      </c>
      <c r="J5" s="111"/>
      <c r="K5" s="111"/>
      <c r="L5" s="111"/>
      <c r="M5" s="111"/>
      <c r="N5" s="111"/>
      <c r="O5" s="111"/>
      <c r="P5" s="111"/>
    </row>
    <row r="6" spans="1:16" ht="15" customHeight="1">
      <c r="A6" s="88"/>
      <c r="B6" s="679" t="s">
        <v>295</v>
      </c>
      <c r="C6" s="679"/>
      <c r="D6" s="89">
        <v>43.7</v>
      </c>
      <c r="E6" s="90">
        <v>39</v>
      </c>
      <c r="G6" s="111">
        <v>2003</v>
      </c>
      <c r="H6" s="111">
        <v>20</v>
      </c>
      <c r="I6" s="111">
        <v>18.4</v>
      </c>
      <c r="J6" s="111"/>
      <c r="K6" s="111"/>
      <c r="L6" s="111"/>
      <c r="M6" s="111"/>
      <c r="N6" s="111"/>
      <c r="O6" s="111"/>
      <c r="P6" s="111"/>
    </row>
    <row r="7" spans="1:16" ht="12.75">
      <c r="A7" s="52" t="s">
        <v>296</v>
      </c>
      <c r="B7" s="83">
        <v>121910036</v>
      </c>
      <c r="C7" s="83">
        <v>250934396</v>
      </c>
      <c r="D7" s="83"/>
      <c r="E7" s="84" t="s">
        <v>53</v>
      </c>
      <c r="G7" s="111">
        <v>2004</v>
      </c>
      <c r="H7" s="111">
        <v>21</v>
      </c>
      <c r="I7" s="111">
        <v>9.3</v>
      </c>
      <c r="J7" s="111"/>
      <c r="K7" s="111"/>
      <c r="L7" s="111"/>
      <c r="M7" s="111"/>
      <c r="N7" s="111"/>
      <c r="O7" s="111"/>
      <c r="P7" s="111"/>
    </row>
    <row r="8" spans="1:16" ht="12.75">
      <c r="A8" s="52" t="s">
        <v>245</v>
      </c>
      <c r="B8" s="83">
        <v>196036344</v>
      </c>
      <c r="C8" s="83">
        <v>414591657</v>
      </c>
      <c r="D8" s="83"/>
      <c r="E8" s="84" t="s">
        <v>53</v>
      </c>
      <c r="G8" s="111">
        <v>2005</v>
      </c>
      <c r="H8" s="111">
        <v>12.3</v>
      </c>
      <c r="I8" s="111">
        <v>7.7</v>
      </c>
      <c r="J8" s="111"/>
      <c r="K8" s="111"/>
      <c r="L8" s="111"/>
      <c r="M8" s="111"/>
      <c r="N8" s="111"/>
      <c r="O8" s="111"/>
      <c r="P8" s="111"/>
    </row>
    <row r="9" spans="1:16" ht="18" customHeight="1">
      <c r="A9" s="88"/>
      <c r="B9" s="679" t="s">
        <v>295</v>
      </c>
      <c r="C9" s="679"/>
      <c r="D9" s="89">
        <v>67.3</v>
      </c>
      <c r="E9" s="91">
        <v>68.5</v>
      </c>
      <c r="G9" s="111">
        <v>2006</v>
      </c>
      <c r="H9" s="111">
        <v>7</v>
      </c>
      <c r="I9" s="111"/>
      <c r="J9" s="111"/>
      <c r="K9" s="111"/>
      <c r="L9" s="111"/>
      <c r="M9" s="111"/>
      <c r="N9" s="111"/>
      <c r="O9" s="111"/>
      <c r="P9" s="111"/>
    </row>
    <row r="10" spans="1:5" ht="12.75">
      <c r="A10" s="49" t="s">
        <v>246</v>
      </c>
      <c r="B10" s="83">
        <f>+(B8-4690000)*1.032+4690000</f>
        <v>202159427.00800002</v>
      </c>
      <c r="C10" s="83">
        <v>469289639</v>
      </c>
      <c r="D10" s="83"/>
      <c r="E10" s="84" t="s">
        <v>53</v>
      </c>
    </row>
    <row r="11" spans="1:5" ht="12.75" hidden="1">
      <c r="A11" s="49" t="s">
        <v>247</v>
      </c>
      <c r="B11" s="83">
        <f>+(B10-4690000)*1.053+4690000</f>
        <v>212625306.639424</v>
      </c>
      <c r="C11" s="83">
        <f>+(C10-4690000)*1.053+4690000</f>
        <v>493913419.867</v>
      </c>
      <c r="D11" s="83"/>
      <c r="E11" s="84">
        <v>5.3</v>
      </c>
    </row>
    <row r="12" spans="1:5" ht="12.75" hidden="1">
      <c r="A12" s="49" t="s">
        <v>248</v>
      </c>
      <c r="B12" s="83">
        <f>+(B11-4690000)*1.018+4690000</f>
        <v>216368142.15893364</v>
      </c>
      <c r="C12" s="83">
        <f>+(C11-4690000)*1.018+4690000</f>
        <v>502719441.42460597</v>
      </c>
      <c r="D12" s="83"/>
      <c r="E12" s="84">
        <v>1.8</v>
      </c>
    </row>
    <row r="13" spans="1:5" ht="12.75" hidden="1">
      <c r="A13" s="49" t="s">
        <v>249</v>
      </c>
      <c r="B13" s="83">
        <f>+(B12-4690000)*1.012+4690000</f>
        <v>218908279.86484084</v>
      </c>
      <c r="C13" s="83">
        <f>+(C12-4690000)*1.012+4690000</f>
        <v>508695794.72170126</v>
      </c>
      <c r="D13" s="83"/>
      <c r="E13" s="84">
        <v>1.2</v>
      </c>
    </row>
    <row r="14" spans="1:5" ht="12.75" hidden="1">
      <c r="A14" s="49" t="s">
        <v>250</v>
      </c>
      <c r="B14" s="83">
        <f>+(B13-4690000)*1.021+4690000</f>
        <v>223406863.7420025</v>
      </c>
      <c r="C14" s="83">
        <f>+(C13-4690000)*1.021+4690000</f>
        <v>519279916.41085696</v>
      </c>
      <c r="D14" s="83"/>
      <c r="E14" s="84">
        <v>2.1</v>
      </c>
    </row>
    <row r="15" spans="1:5" ht="12.75" hidden="1">
      <c r="A15" s="49" t="s">
        <v>251</v>
      </c>
      <c r="B15" s="83">
        <f>+(B14-4690000)*1.006+4690000</f>
        <v>224719164.9244545</v>
      </c>
      <c r="C15" s="83">
        <f>+(C14-4690000)*1.006+4690000</f>
        <v>522367455.9093221</v>
      </c>
      <c r="D15" s="83"/>
      <c r="E15" s="84">
        <v>0.6</v>
      </c>
    </row>
    <row r="16" spans="1:5" ht="12.75" hidden="1">
      <c r="A16" s="49" t="s">
        <v>252</v>
      </c>
      <c r="B16" s="83">
        <f>+(B15-4690000)*1.006+4690000</f>
        <v>226039339.91400123</v>
      </c>
      <c r="C16" s="83">
        <f>+(C15-4690000)*1.006+4690000+8</f>
        <v>525473528.644778</v>
      </c>
      <c r="D16" s="83"/>
      <c r="E16" s="84">
        <v>0.6</v>
      </c>
    </row>
    <row r="17" spans="1:5" ht="12.75" hidden="1">
      <c r="A17" s="49" t="s">
        <v>253</v>
      </c>
      <c r="B17" s="83">
        <f>+(B16-4690000)*1.014+4690000+8</f>
        <v>229138238.67279723</v>
      </c>
      <c r="C17" s="83">
        <f>+(C16-4690000)*1.014+4690000+1</f>
        <v>532764499.0458049</v>
      </c>
      <c r="D17" s="83"/>
      <c r="E17" s="84">
        <v>1.4</v>
      </c>
    </row>
    <row r="18" spans="1:5" ht="12.75" hidden="1">
      <c r="A18" s="49" t="s">
        <v>254</v>
      </c>
      <c r="B18" s="83">
        <f>+(B17-4690000)*1.022+4690000+1</f>
        <v>234076100.92359877</v>
      </c>
      <c r="C18" s="83">
        <f>+(C17-4690000)*1.022+4690000</f>
        <v>544382138.0248126</v>
      </c>
      <c r="D18" s="83"/>
      <c r="E18" s="84">
        <v>2.2</v>
      </c>
    </row>
    <row r="19" spans="1:5" ht="12.75" hidden="1">
      <c r="A19" s="49" t="s">
        <v>255</v>
      </c>
      <c r="B19" s="83">
        <f>+(B18-4690000)*1.035+4690000+1</f>
        <v>242104615.45592472</v>
      </c>
      <c r="C19" s="83">
        <f>+(C18-4690000)*1.035+4690000</f>
        <v>563271362.855681</v>
      </c>
      <c r="D19" s="83"/>
      <c r="E19" s="84">
        <v>3.5</v>
      </c>
    </row>
    <row r="20" spans="1:5" ht="12.75" hidden="1">
      <c r="A20" s="49" t="s">
        <v>256</v>
      </c>
      <c r="B20" s="83">
        <f>+(B19-4690000)*1.033+4690000</f>
        <v>249939297.76597023</v>
      </c>
      <c r="C20" s="83">
        <f>+(C19-4690000)*1.033+4690000</f>
        <v>581704547.8299184</v>
      </c>
      <c r="D20" s="83"/>
      <c r="E20" s="84">
        <v>3.3</v>
      </c>
    </row>
    <row r="21" spans="1:5" ht="14.25" customHeight="1">
      <c r="A21" s="49" t="s">
        <v>257</v>
      </c>
      <c r="B21" s="83">
        <f>+(B20-4690000)*1.029+1+4690000</f>
        <v>257051528.40118334</v>
      </c>
      <c r="C21" s="83">
        <v>525473523</v>
      </c>
      <c r="D21" s="83"/>
      <c r="E21" s="84" t="s">
        <v>53</v>
      </c>
    </row>
    <row r="22" spans="1:7" ht="15" customHeight="1">
      <c r="A22" s="88"/>
      <c r="B22" s="679" t="s">
        <v>295</v>
      </c>
      <c r="C22" s="679"/>
      <c r="D22" s="89">
        <v>31.9</v>
      </c>
      <c r="E22" s="90">
        <v>29.7</v>
      </c>
      <c r="G22" s="81" t="s">
        <v>53</v>
      </c>
    </row>
    <row r="23" spans="1:5" ht="12.75" hidden="1">
      <c r="A23" s="92" t="s">
        <v>269</v>
      </c>
      <c r="B23" s="93">
        <v>261089313</v>
      </c>
      <c r="C23" s="93">
        <v>503330103</v>
      </c>
      <c r="D23" s="93"/>
      <c r="E23" s="94">
        <v>1.6</v>
      </c>
    </row>
    <row r="24" spans="1:5" ht="12.75" hidden="1">
      <c r="A24" s="95" t="s">
        <v>270</v>
      </c>
      <c r="B24" s="96">
        <f>75000000-(B23-B21)</f>
        <v>70962215.40118334</v>
      </c>
      <c r="C24" s="96">
        <f>75000000-(C23-C21)</f>
        <v>97143420</v>
      </c>
      <c r="D24" s="96"/>
      <c r="E24" s="97"/>
    </row>
    <row r="25" spans="1:5" ht="12.75">
      <c r="A25" s="92" t="s">
        <v>269</v>
      </c>
      <c r="B25" s="98">
        <v>332051528</v>
      </c>
      <c r="C25" s="98">
        <v>715473472</v>
      </c>
      <c r="D25" s="98"/>
      <c r="E25" s="94"/>
    </row>
    <row r="26" spans="1:5" ht="12.75" hidden="1">
      <c r="A26" s="95" t="s">
        <v>247</v>
      </c>
      <c r="B26" s="99">
        <f>+(B23-4690000)*(1+E26/100)+4690000</f>
        <v>267755695.138</v>
      </c>
      <c r="C26" s="99">
        <f>+((C23-4690000)*1.026+4690000)</f>
        <v>516294745.67800003</v>
      </c>
      <c r="D26" s="99"/>
      <c r="E26" s="100">
        <v>2.6</v>
      </c>
    </row>
    <row r="27" spans="1:5" ht="12.75" hidden="1">
      <c r="A27" s="95" t="s">
        <v>248</v>
      </c>
      <c r="B27" s="99">
        <f>+B24-(B26-B23)</f>
        <v>64295833.263183326</v>
      </c>
      <c r="C27" s="99">
        <f>+C24-(C26-C23)-1</f>
        <v>84178776.32199997</v>
      </c>
      <c r="D27" s="99"/>
      <c r="E27" s="100"/>
    </row>
    <row r="28" spans="1:5" ht="12.75" hidden="1">
      <c r="A28" s="95" t="s">
        <v>249</v>
      </c>
      <c r="B28" s="99">
        <f>+B26+B27</f>
        <v>332051528.40118337</v>
      </c>
      <c r="C28" s="99">
        <f>+C26+C27+1</f>
        <v>600473523</v>
      </c>
      <c r="D28" s="99"/>
      <c r="E28" s="100"/>
    </row>
    <row r="29" spans="1:5" ht="12.75" hidden="1">
      <c r="A29" s="95" t="s">
        <v>250</v>
      </c>
      <c r="B29" s="99">
        <f>+((B26-4690000)*1.023+4690000)+2</f>
        <v>273806208.126174</v>
      </c>
      <c r="C29" s="99">
        <f>+((C26-4690000)*1.023+4690000)-99</f>
        <v>528061555.82859397</v>
      </c>
      <c r="D29" s="99"/>
      <c r="E29" s="100">
        <v>2.3</v>
      </c>
    </row>
    <row r="30" spans="1:5" ht="12.75" hidden="1">
      <c r="A30" s="95" t="s">
        <v>251</v>
      </c>
      <c r="B30" s="99">
        <f>+B27-(B29-B26)</f>
        <v>58245320.275009364</v>
      </c>
      <c r="C30" s="99">
        <f>+C27-(C29-C26)</f>
        <v>72411966.17140603</v>
      </c>
      <c r="D30" s="99"/>
      <c r="E30" s="100"/>
    </row>
    <row r="31" spans="1:5" ht="12.75" hidden="1">
      <c r="A31" s="95" t="s">
        <v>252</v>
      </c>
      <c r="B31" s="99">
        <f>+B29+B30</f>
        <v>332051528.40118337</v>
      </c>
      <c r="C31" s="99">
        <f>+C29+C30+1</f>
        <v>600473523</v>
      </c>
      <c r="D31" s="99"/>
      <c r="E31" s="100"/>
    </row>
    <row r="32" spans="1:5" ht="12.75" hidden="1">
      <c r="A32" s="95" t="s">
        <v>253</v>
      </c>
      <c r="B32" s="99">
        <f>+((B29-4690000)*1.031+4690000)</f>
        <v>282148810.57808536</v>
      </c>
      <c r="C32" s="99">
        <f>+((C29-4690000)*1.031+4690000)+104</f>
        <v>544286178.0592804</v>
      </c>
      <c r="D32" s="99"/>
      <c r="E32" s="100">
        <v>3.1</v>
      </c>
    </row>
    <row r="33" spans="1:5" ht="12.75" hidden="1">
      <c r="A33" s="95" t="s">
        <v>254</v>
      </c>
      <c r="B33" s="99">
        <f>+B30-(B32-B29)-1</f>
        <v>49902716.823097974</v>
      </c>
      <c r="C33" s="99">
        <f>+C30-(C32-C29)+1</f>
        <v>56187344.940719604</v>
      </c>
      <c r="D33" s="99"/>
      <c r="E33" s="100" t="s">
        <v>53</v>
      </c>
    </row>
    <row r="34" spans="1:5" ht="12.75" hidden="1">
      <c r="A34" s="95" t="s">
        <v>255</v>
      </c>
      <c r="B34" s="99">
        <f>+B32+B33+1</f>
        <v>332051528.40118337</v>
      </c>
      <c r="C34" s="99">
        <f>+C32+C33</f>
        <v>600473523</v>
      </c>
      <c r="D34" s="99"/>
      <c r="E34" s="100" t="s">
        <v>53</v>
      </c>
    </row>
    <row r="35" spans="1:5" ht="12.75" hidden="1">
      <c r="A35" s="95" t="s">
        <v>256</v>
      </c>
      <c r="B35" s="99">
        <f>+((B32-4690000)*1.021+4690000)+1</f>
        <v>287975446.60022515</v>
      </c>
      <c r="C35" s="99">
        <f>+((C32-4690000)*1.021+4690000)</f>
        <v>555617697.7985252</v>
      </c>
      <c r="D35" s="99"/>
      <c r="E35" s="100">
        <v>2.1</v>
      </c>
    </row>
    <row r="36" spans="1:5" ht="12.75" hidden="1">
      <c r="A36" s="95" t="s">
        <v>257</v>
      </c>
      <c r="B36" s="99">
        <f>+B33-(B35-B32)</f>
        <v>44076080.80095819</v>
      </c>
      <c r="C36" s="99">
        <f>+C33-(C35-C32)-1</f>
        <v>44855824.201474786</v>
      </c>
      <c r="D36" s="99"/>
      <c r="E36" s="100"/>
    </row>
    <row r="37" spans="1:5" ht="12.75" hidden="1">
      <c r="A37" s="95" t="s">
        <v>268</v>
      </c>
      <c r="B37" s="99">
        <f>+B35+B36+1</f>
        <v>332051528.40118337</v>
      </c>
      <c r="C37" s="99">
        <f>+C35+C36+1</f>
        <v>600473523</v>
      </c>
      <c r="D37" s="99"/>
      <c r="E37" s="100"/>
    </row>
    <row r="38" spans="1:5" ht="12.75" hidden="1">
      <c r="A38" s="95" t="s">
        <v>274</v>
      </c>
      <c r="B38" s="99">
        <f>+((B35-4690000)*1.016+4690000)+1</f>
        <v>292508014.74582875</v>
      </c>
      <c r="C38" s="99">
        <f>+((C35-4690000)*1.016+4690000)+1</f>
        <v>564432541.9633017</v>
      </c>
      <c r="D38" s="99"/>
      <c r="E38" s="100">
        <v>1.6</v>
      </c>
    </row>
    <row r="39" spans="1:5" ht="12.75" hidden="1">
      <c r="A39" s="95" t="s">
        <v>270</v>
      </c>
      <c r="B39" s="99">
        <f>+(B36-(B38-B35))</f>
        <v>39543512.65535459</v>
      </c>
      <c r="C39" s="99">
        <f>+(C36-(C38-C35))</f>
        <v>36040980.03669834</v>
      </c>
      <c r="D39" s="99"/>
      <c r="E39" s="100"/>
    </row>
    <row r="40" spans="1:5" ht="1.5" customHeight="1" hidden="1">
      <c r="A40" s="95" t="s">
        <v>268</v>
      </c>
      <c r="B40" s="99">
        <f>+B39+B38+1</f>
        <v>332051528.40118337</v>
      </c>
      <c r="C40" s="99">
        <f>+C39+C38+1</f>
        <v>600473523</v>
      </c>
      <c r="D40" s="99"/>
      <c r="E40" s="100"/>
    </row>
    <row r="41" spans="1:5" ht="12.75" hidden="1">
      <c r="A41" s="95" t="s">
        <v>275</v>
      </c>
      <c r="B41" s="99">
        <f>+B38</f>
        <v>292508014.74582875</v>
      </c>
      <c r="C41" s="99">
        <f>+C38</f>
        <v>564432541.9633017</v>
      </c>
      <c r="D41" s="99"/>
      <c r="E41" s="100">
        <v>-0.2</v>
      </c>
    </row>
    <row r="42" spans="1:5" ht="12.75" hidden="1">
      <c r="A42" s="95" t="s">
        <v>270</v>
      </c>
      <c r="B42" s="99">
        <f>+(B39-(B41-B38))</f>
        <v>39543512.65535459</v>
      </c>
      <c r="C42" s="99">
        <f>+(C39-(C41-C38))</f>
        <v>36040980.03669834</v>
      </c>
      <c r="D42" s="99"/>
      <c r="E42" s="100"/>
    </row>
    <row r="43" spans="1:5" ht="12.75" hidden="1">
      <c r="A43" s="95" t="s">
        <v>268</v>
      </c>
      <c r="B43" s="99">
        <f>+B42+B41+1</f>
        <v>332051528.40118337</v>
      </c>
      <c r="C43" s="99">
        <f>+C42+C41+1</f>
        <v>600473523</v>
      </c>
      <c r="D43" s="99"/>
      <c r="E43" s="100"/>
    </row>
    <row r="44" spans="1:5" ht="12.75" hidden="1">
      <c r="A44" s="95" t="s">
        <v>276</v>
      </c>
      <c r="B44" s="99">
        <f>+B41</f>
        <v>292508014.74582875</v>
      </c>
      <c r="C44" s="99">
        <f>+C41</f>
        <v>564432541.9633017</v>
      </c>
      <c r="D44" s="99"/>
      <c r="E44" s="100">
        <v>-0.4</v>
      </c>
    </row>
    <row r="45" spans="1:5" ht="12.75" hidden="1">
      <c r="A45" s="95" t="s">
        <v>270</v>
      </c>
      <c r="B45" s="99">
        <f>+(B42-(B44-B41))</f>
        <v>39543512.65535459</v>
      </c>
      <c r="C45" s="99">
        <f>+(C42-(C44-C41))</f>
        <v>36040980.03669834</v>
      </c>
      <c r="D45" s="99"/>
      <c r="E45" s="100"/>
    </row>
    <row r="46" spans="1:5" ht="12.75" hidden="1">
      <c r="A46" s="95" t="s">
        <v>268</v>
      </c>
      <c r="B46" s="99">
        <f>+B45+B44+1</f>
        <v>332051528.40118337</v>
      </c>
      <c r="C46" s="99">
        <f>+C45+C44+1</f>
        <v>600473523</v>
      </c>
      <c r="D46" s="99"/>
      <c r="E46" s="100"/>
    </row>
    <row r="47" spans="1:5" ht="12.75" hidden="1">
      <c r="A47" s="95" t="s">
        <v>277</v>
      </c>
      <c r="B47" s="99">
        <f>288393652+4690000-1</f>
        <v>293083651</v>
      </c>
      <c r="C47" s="99">
        <f>560862028+4690000-1</f>
        <v>565552027</v>
      </c>
      <c r="D47" s="99"/>
      <c r="E47" s="100">
        <v>0.2</v>
      </c>
    </row>
    <row r="48" spans="1:5" ht="12.75" hidden="1">
      <c r="A48" s="95" t="s">
        <v>270</v>
      </c>
      <c r="B48" s="99">
        <v>38967876</v>
      </c>
      <c r="C48" s="99">
        <v>4925474</v>
      </c>
      <c r="D48" s="99"/>
      <c r="E48" s="100"/>
    </row>
    <row r="49" spans="1:5" ht="12.75" hidden="1">
      <c r="A49" s="95" t="s">
        <v>268</v>
      </c>
      <c r="B49" s="99">
        <f>+B48+B47+1</f>
        <v>332051528</v>
      </c>
      <c r="C49" s="99">
        <f>+C48+C47+1</f>
        <v>570477502</v>
      </c>
      <c r="D49" s="99"/>
      <c r="E49" s="100"/>
    </row>
    <row r="50" spans="1:5" ht="12.75" hidden="1">
      <c r="A50" s="95" t="s">
        <v>278</v>
      </c>
      <c r="B50" s="99">
        <f>+((B47-4690000)*1.019+4690000)+2</f>
        <v>298563132.36899996</v>
      </c>
      <c r="C50" s="99">
        <f>+((C47-4690000)*1.019+4690000)+1</f>
        <v>576208406.5129999</v>
      </c>
      <c r="D50" s="99"/>
      <c r="E50" s="100">
        <v>1.9</v>
      </c>
    </row>
    <row r="51" spans="1:5" ht="12.75" hidden="1">
      <c r="A51" s="95" t="s">
        <v>270</v>
      </c>
      <c r="B51" s="99">
        <f>+(B48-(B50-B47))+1</f>
        <v>33488395.631000042</v>
      </c>
      <c r="C51" s="99">
        <v>0</v>
      </c>
      <c r="D51" s="99"/>
      <c r="E51" s="100"/>
    </row>
    <row r="52" spans="1:5" ht="0.75" customHeight="1" hidden="1">
      <c r="A52" s="95" t="s">
        <v>268</v>
      </c>
      <c r="B52" s="99">
        <f>+B51+B50</f>
        <v>332051528</v>
      </c>
      <c r="C52" s="99">
        <f>+C51+C50+1</f>
        <v>576208407.5129999</v>
      </c>
      <c r="D52" s="99"/>
      <c r="E52" s="100"/>
    </row>
    <row r="53" spans="1:5" ht="9" customHeight="1" hidden="1">
      <c r="A53" s="95" t="s">
        <v>283</v>
      </c>
      <c r="B53" s="99">
        <f>+((B50-4690000)*1.014+4690000)</f>
        <v>302677356.22216594</v>
      </c>
      <c r="C53" s="99">
        <f>+((C50-4690000)*1.014+4690000)+1</f>
        <v>584209665.2041819</v>
      </c>
      <c r="D53" s="99"/>
      <c r="E53" s="100">
        <v>1.4</v>
      </c>
    </row>
    <row r="54" spans="1:5" ht="12" customHeight="1" hidden="1">
      <c r="A54" s="95" t="s">
        <v>270</v>
      </c>
      <c r="B54" s="99">
        <f>+(B51-(B53-B50))</f>
        <v>29374171.777834058</v>
      </c>
      <c r="C54" s="99">
        <v>0</v>
      </c>
      <c r="D54" s="99"/>
      <c r="E54" s="100"/>
    </row>
    <row r="55" spans="1:5" ht="11.25" customHeight="1" hidden="1">
      <c r="A55" s="95" t="s">
        <v>268</v>
      </c>
      <c r="B55" s="99">
        <f>+B54+B53</f>
        <v>332051528</v>
      </c>
      <c r="C55" s="99">
        <f>+C54+C53</f>
        <v>584209665.2041819</v>
      </c>
      <c r="D55" s="99"/>
      <c r="E55" s="100"/>
    </row>
    <row r="56" spans="1:5" ht="11.25" customHeight="1" hidden="1">
      <c r="A56" s="95" t="s">
        <v>284</v>
      </c>
      <c r="B56" s="99">
        <f>+((B53-4690000)*1.016+4690000)</f>
        <v>307445153.9217206</v>
      </c>
      <c r="C56" s="99">
        <f>+((C53-4690000)*1.016+4690000)</f>
        <v>593481979.8474488</v>
      </c>
      <c r="D56" s="99"/>
      <c r="E56" s="100">
        <v>1.6</v>
      </c>
    </row>
    <row r="57" spans="1:5" ht="1.5" customHeight="1" hidden="1">
      <c r="A57" s="95" t="s">
        <v>270</v>
      </c>
      <c r="B57" s="99">
        <f>+(B54-(B56-B53))</f>
        <v>24606374.078279376</v>
      </c>
      <c r="C57" s="99">
        <v>0</v>
      </c>
      <c r="D57" s="99"/>
      <c r="E57" s="100"/>
    </row>
    <row r="58" spans="1:7" ht="17.25" customHeight="1">
      <c r="A58" s="101" t="s">
        <v>88</v>
      </c>
      <c r="B58" s="86">
        <v>332051528</v>
      </c>
      <c r="C58" s="86">
        <v>712865087</v>
      </c>
      <c r="D58" s="86"/>
      <c r="E58" s="87"/>
      <c r="G58" s="81" t="s">
        <v>53</v>
      </c>
    </row>
    <row r="59" spans="1:5" ht="16.5" customHeight="1">
      <c r="A59" s="102"/>
      <c r="B59" s="681" t="s">
        <v>295</v>
      </c>
      <c r="C59" s="681"/>
      <c r="D59" s="103">
        <f>((1.016*1.026*1.023*1.031*1.021*1.016*1.019*1.014*1.016*1.002)-1)*100</f>
        <v>19.968819733483166</v>
      </c>
      <c r="E59" s="103">
        <v>18.4</v>
      </c>
    </row>
    <row r="60" spans="1:5" ht="15.75" customHeight="1">
      <c r="A60" s="92" t="s">
        <v>285</v>
      </c>
      <c r="B60" s="98">
        <f>+(B58-4690000)*1.1+4690000</f>
        <v>364787680.8</v>
      </c>
      <c r="C60" s="98">
        <v>771154493</v>
      </c>
      <c r="D60" s="98"/>
      <c r="E60" s="94" t="s">
        <v>53</v>
      </c>
    </row>
    <row r="61" spans="1:5" ht="12.75" customHeight="1">
      <c r="A61" s="101" t="s">
        <v>287</v>
      </c>
      <c r="B61" s="86">
        <f>+(B60-4690000)*1.1+4690000+50</f>
        <v>400797498.88000005</v>
      </c>
      <c r="C61" s="86">
        <v>989071089</v>
      </c>
      <c r="D61" s="86"/>
      <c r="E61" s="87" t="s">
        <v>53</v>
      </c>
    </row>
    <row r="62" spans="1:5" ht="16.5" customHeight="1">
      <c r="A62" s="102"/>
      <c r="B62" s="681" t="s">
        <v>295</v>
      </c>
      <c r="C62" s="681"/>
      <c r="D62" s="103">
        <v>21</v>
      </c>
      <c r="E62" s="103">
        <v>9.3</v>
      </c>
    </row>
    <row r="63" spans="1:5" ht="18" customHeight="1">
      <c r="A63" s="92" t="s">
        <v>290</v>
      </c>
      <c r="B63" s="98">
        <f>+(B61-4690000)*1.06+4690000</f>
        <v>424563948.81280005</v>
      </c>
      <c r="C63" s="98">
        <v>1183690000</v>
      </c>
      <c r="D63" s="104" t="s">
        <v>53</v>
      </c>
      <c r="E63" s="94" t="s">
        <v>53</v>
      </c>
    </row>
    <row r="64" spans="1:5" ht="18" customHeight="1">
      <c r="A64" s="101" t="s">
        <v>482</v>
      </c>
      <c r="B64" s="86">
        <f>+(B63-4690000)*1.06+4690000</f>
        <v>449756385.7415681</v>
      </c>
      <c r="C64" s="86">
        <v>1177740000</v>
      </c>
      <c r="D64" s="105" t="s">
        <v>53</v>
      </c>
      <c r="E64" s="87"/>
    </row>
    <row r="65" spans="1:5" ht="15.75" customHeight="1">
      <c r="A65" s="95"/>
      <c r="B65" s="106" t="s">
        <v>53</v>
      </c>
      <c r="C65" s="106"/>
      <c r="D65" s="107">
        <v>12.3</v>
      </c>
      <c r="E65" s="100">
        <v>7.7</v>
      </c>
    </row>
    <row r="66" spans="1:6" ht="23.25" customHeight="1">
      <c r="A66" s="89" t="s">
        <v>476</v>
      </c>
      <c r="B66" s="108">
        <f>+(((B64-4690000)*1.04)*1.03+4690000)/1000000</f>
        <v>481.4451124063678</v>
      </c>
      <c r="C66" s="108">
        <v>1303.32</v>
      </c>
      <c r="D66" s="109">
        <v>7</v>
      </c>
      <c r="E66" s="91" t="s">
        <v>53</v>
      </c>
      <c r="F66" s="81" t="s">
        <v>53</v>
      </c>
    </row>
    <row r="67" spans="1:6" s="4" customFormat="1" ht="50.25" customHeight="1">
      <c r="A67" s="682" t="s">
        <v>480</v>
      </c>
      <c r="B67" s="682"/>
      <c r="C67" s="682"/>
      <c r="D67" s="682"/>
      <c r="E67" s="682"/>
      <c r="F67" s="4" t="s">
        <v>53</v>
      </c>
    </row>
    <row r="68" spans="1:5" s="4" customFormat="1" ht="34.5" customHeight="1">
      <c r="A68" s="680" t="s">
        <v>481</v>
      </c>
      <c r="B68" s="680"/>
      <c r="C68" s="680"/>
      <c r="D68" s="680"/>
      <c r="E68" s="680"/>
    </row>
    <row r="69" spans="1:6" s="4" customFormat="1" ht="18" customHeight="1">
      <c r="A69" s="680" t="s">
        <v>293</v>
      </c>
      <c r="B69" s="680"/>
      <c r="C69" s="680"/>
      <c r="D69" s="680"/>
      <c r="E69" s="680"/>
      <c r="F69" s="4" t="s">
        <v>53</v>
      </c>
    </row>
    <row r="70" s="4" customFormat="1" ht="15">
      <c r="F70" s="4" t="s">
        <v>53</v>
      </c>
    </row>
    <row r="72" ht="11.25">
      <c r="G72" s="81" t="s">
        <v>53</v>
      </c>
    </row>
    <row r="74" ht="11.25">
      <c r="G74" s="81" t="s">
        <v>53</v>
      </c>
    </row>
  </sheetData>
  <mergeCells count="9">
    <mergeCell ref="A1:E1"/>
    <mergeCell ref="B6:C6"/>
    <mergeCell ref="B9:C9"/>
    <mergeCell ref="A69:E69"/>
    <mergeCell ref="B22:C22"/>
    <mergeCell ref="B59:C59"/>
    <mergeCell ref="B62:C62"/>
    <mergeCell ref="A67:E67"/>
    <mergeCell ref="A68:E68"/>
  </mergeCells>
  <printOptions/>
  <pageMargins left="0.88" right="0.75" top="0.68" bottom="0.53" header="0.5" footer="0.5"/>
  <pageSetup horizontalDpi="300" verticalDpi="300" orientation="portrait" paperSize="9" r:id="rId2"/>
  <headerFooter alignWithMargins="0">
    <oddFooter>&amp;C18</oddFooter>
  </headerFooter>
  <drawing r:id="rId1"/>
</worksheet>
</file>

<file path=xl/worksheets/sheet21.xml><?xml version="1.0" encoding="utf-8"?>
<worksheet xmlns="http://schemas.openxmlformats.org/spreadsheetml/2006/main" xmlns:r="http://schemas.openxmlformats.org/officeDocument/2006/relationships">
  <sheetPr>
    <tabColor indexed="12"/>
  </sheetPr>
  <dimension ref="A1:Y34"/>
  <sheetViews>
    <sheetView showGridLines="0" workbookViewId="0" topLeftCell="A16">
      <selection activeCell="A20" sqref="A20:I20"/>
    </sheetView>
  </sheetViews>
  <sheetFormatPr defaultColWidth="9.00390625" defaultRowHeight="12.75"/>
  <cols>
    <col min="1" max="1" width="14.625" style="1" customWidth="1"/>
    <col min="2" max="2" width="15.375" style="1" customWidth="1"/>
    <col min="3" max="3" width="14.375" style="1" customWidth="1"/>
    <col min="4" max="4" width="10.625" style="1" customWidth="1"/>
    <col min="5" max="5" width="16.125" style="1" customWidth="1"/>
    <col min="6" max="6" width="14.625" style="1" customWidth="1"/>
    <col min="7" max="7" width="11.625" style="1" customWidth="1"/>
    <col min="8" max="8" width="14.375" style="1" customWidth="1"/>
    <col min="9" max="9" width="12.125" style="1" customWidth="1"/>
    <col min="10" max="16384" width="9.125" style="1" customWidth="1"/>
  </cols>
  <sheetData>
    <row r="1" spans="1:9" s="4" customFormat="1" ht="15">
      <c r="A1" s="578" t="s">
        <v>472</v>
      </c>
      <c r="B1" s="565"/>
      <c r="C1" s="565"/>
      <c r="D1" s="565"/>
      <c r="E1" s="565"/>
      <c r="F1" s="565"/>
      <c r="G1" s="565"/>
      <c r="H1" s="565"/>
      <c r="I1" s="565"/>
    </row>
    <row r="2" spans="1:9" ht="16.5" thickBot="1">
      <c r="A2" s="16" t="s">
        <v>475</v>
      </c>
      <c r="I2" s="11" t="s">
        <v>273</v>
      </c>
    </row>
    <row r="3" spans="1:9" ht="12.75" customHeight="1" thickTop="1">
      <c r="A3" s="690" t="s">
        <v>63</v>
      </c>
      <c r="B3" s="686" t="s">
        <v>477</v>
      </c>
      <c r="C3" s="686" t="s">
        <v>478</v>
      </c>
      <c r="D3" s="686" t="s">
        <v>96</v>
      </c>
      <c r="E3" s="684" t="s">
        <v>265</v>
      </c>
      <c r="F3" s="686" t="s">
        <v>266</v>
      </c>
      <c r="G3" s="686" t="s">
        <v>96</v>
      </c>
      <c r="H3" s="688" t="s">
        <v>289</v>
      </c>
      <c r="I3" s="693" t="s">
        <v>96</v>
      </c>
    </row>
    <row r="4" spans="1:9" ht="59.25" customHeight="1">
      <c r="A4" s="691"/>
      <c r="B4" s="687"/>
      <c r="C4" s="687"/>
      <c r="D4" s="687"/>
      <c r="E4" s="685"/>
      <c r="F4" s="687"/>
      <c r="G4" s="687"/>
      <c r="H4" s="689"/>
      <c r="I4" s="694"/>
    </row>
    <row r="5" spans="1:9" ht="18" customHeight="1">
      <c r="A5" s="256">
        <v>1995</v>
      </c>
      <c r="B5" s="257">
        <v>34746.8</v>
      </c>
      <c r="C5" s="257">
        <f aca="true" t="shared" si="0" ref="C5:C13">+(B5/H5)*100</f>
        <v>77.63867320604632</v>
      </c>
      <c r="D5" s="257"/>
      <c r="E5" s="258">
        <v>10007.7</v>
      </c>
      <c r="F5" s="258">
        <f aca="true" t="shared" si="1" ref="F5:F13">+(E5/H5)*100</f>
        <v>22.36132679395368</v>
      </c>
      <c r="G5" s="257"/>
      <c r="H5" s="259">
        <f aca="true" t="shared" si="2" ref="H5:H13">+E5+B5</f>
        <v>44754.5</v>
      </c>
      <c r="I5" s="260"/>
    </row>
    <row r="6" spans="1:9" ht="18" customHeight="1">
      <c r="A6" s="256">
        <v>1996</v>
      </c>
      <c r="B6" s="257">
        <v>66029.5</v>
      </c>
      <c r="C6" s="257">
        <f t="shared" si="0"/>
        <v>75.08710761770901</v>
      </c>
      <c r="D6" s="257">
        <f aca="true" t="shared" si="3" ref="D6:D13">(+B6/B5)*100-100</f>
        <v>90.03044884708805</v>
      </c>
      <c r="E6" s="258">
        <v>21907.7</v>
      </c>
      <c r="F6" s="258">
        <f t="shared" si="1"/>
        <v>24.912892382291</v>
      </c>
      <c r="G6" s="257">
        <f aca="true" t="shared" si="4" ref="G6:G13">(+E6/E5)*100-100</f>
        <v>118.90844050081438</v>
      </c>
      <c r="H6" s="259">
        <f t="shared" si="2"/>
        <v>87937.2</v>
      </c>
      <c r="I6" s="260">
        <f aca="true" t="shared" si="5" ref="I6:I13">(+H6/H5)*100-100</f>
        <v>96.48795093230848</v>
      </c>
    </row>
    <row r="7" spans="1:9" ht="18" customHeight="1">
      <c r="A7" s="256">
        <v>1997</v>
      </c>
      <c r="B7" s="257">
        <v>146513.7</v>
      </c>
      <c r="C7" s="257">
        <f t="shared" si="0"/>
        <v>73.53986818270113</v>
      </c>
      <c r="D7" s="257">
        <f t="shared" si="3"/>
        <v>121.89127586911911</v>
      </c>
      <c r="E7" s="258">
        <v>52716.6</v>
      </c>
      <c r="F7" s="258">
        <f t="shared" si="1"/>
        <v>26.460131817298873</v>
      </c>
      <c r="G7" s="257">
        <f t="shared" si="4"/>
        <v>140.6304632617755</v>
      </c>
      <c r="H7" s="259">
        <f t="shared" si="2"/>
        <v>199230.30000000002</v>
      </c>
      <c r="I7" s="260">
        <f t="shared" si="5"/>
        <v>126.55974945756748</v>
      </c>
    </row>
    <row r="8" spans="1:9" ht="18" customHeight="1">
      <c r="A8" s="261">
        <v>1998</v>
      </c>
      <c r="B8" s="257">
        <v>295013.3</v>
      </c>
      <c r="C8" s="257">
        <f t="shared" si="0"/>
        <v>72.63108396390274</v>
      </c>
      <c r="D8" s="257">
        <f t="shared" si="3"/>
        <v>101.35543638581237</v>
      </c>
      <c r="E8" s="258">
        <v>111167.2</v>
      </c>
      <c r="F8" s="258">
        <f t="shared" si="1"/>
        <v>27.36891603609725</v>
      </c>
      <c r="G8" s="257">
        <f t="shared" si="4"/>
        <v>110.87702924695449</v>
      </c>
      <c r="H8" s="259">
        <f t="shared" si="2"/>
        <v>406180.5</v>
      </c>
      <c r="I8" s="260">
        <f t="shared" si="5"/>
        <v>103.8748624079771</v>
      </c>
    </row>
    <row r="9" spans="1:9" ht="18" customHeight="1">
      <c r="A9" s="261">
        <v>1999</v>
      </c>
      <c r="B9" s="257">
        <v>525626.2</v>
      </c>
      <c r="C9" s="257">
        <f t="shared" si="0"/>
        <v>70.20522920076746</v>
      </c>
      <c r="D9" s="257">
        <f t="shared" si="3"/>
        <v>78.17034011686928</v>
      </c>
      <c r="E9" s="258">
        <v>223073.3</v>
      </c>
      <c r="F9" s="258">
        <f t="shared" si="1"/>
        <v>29.794770799232534</v>
      </c>
      <c r="G9" s="257">
        <f t="shared" si="4"/>
        <v>100.66467447232634</v>
      </c>
      <c r="H9" s="259">
        <f t="shared" si="2"/>
        <v>748699.5</v>
      </c>
      <c r="I9" s="260">
        <f t="shared" si="5"/>
        <v>84.32679559949332</v>
      </c>
    </row>
    <row r="10" spans="1:9" ht="18" customHeight="1">
      <c r="A10" s="261">
        <v>2000</v>
      </c>
      <c r="B10" s="257">
        <v>872956.2</v>
      </c>
      <c r="C10" s="257">
        <f t="shared" si="0"/>
        <v>68.18964515234003</v>
      </c>
      <c r="D10" s="257">
        <f t="shared" si="3"/>
        <v>66.07927839213494</v>
      </c>
      <c r="E10" s="258">
        <v>407232.6</v>
      </c>
      <c r="F10" s="258">
        <f t="shared" si="1"/>
        <v>31.810354847659973</v>
      </c>
      <c r="G10" s="257">
        <f t="shared" si="4"/>
        <v>82.55550978086575</v>
      </c>
      <c r="H10" s="259">
        <f t="shared" si="2"/>
        <v>1280188.7999999998</v>
      </c>
      <c r="I10" s="260">
        <f t="shared" si="5"/>
        <v>70.98833377075846</v>
      </c>
    </row>
    <row r="11" spans="1:9" ht="18" customHeight="1">
      <c r="A11" s="261">
        <v>2001</v>
      </c>
      <c r="B11" s="257">
        <v>1527662.8</v>
      </c>
      <c r="C11" s="257">
        <f t="shared" si="0"/>
        <v>67.65684174051808</v>
      </c>
      <c r="D11" s="257">
        <f t="shared" si="3"/>
        <v>74.99879146284775</v>
      </c>
      <c r="E11" s="258">
        <v>730294.8</v>
      </c>
      <c r="F11" s="258">
        <f t="shared" si="1"/>
        <v>32.34315825948193</v>
      </c>
      <c r="G11" s="257">
        <f t="shared" si="4"/>
        <v>79.33112427639637</v>
      </c>
      <c r="H11" s="259">
        <f t="shared" si="2"/>
        <v>2257957.6</v>
      </c>
      <c r="I11" s="260">
        <f t="shared" si="5"/>
        <v>76.37692190401918</v>
      </c>
    </row>
    <row r="12" spans="1:9" ht="18" customHeight="1">
      <c r="A12" s="261">
        <v>2002</v>
      </c>
      <c r="B12" s="257">
        <v>2532071.1</v>
      </c>
      <c r="C12" s="257">
        <f t="shared" si="0"/>
        <v>70.44586725149561</v>
      </c>
      <c r="D12" s="257">
        <f t="shared" si="3"/>
        <v>65.74803680498079</v>
      </c>
      <c r="E12" s="258">
        <f>807771+254508</f>
        <v>1062279</v>
      </c>
      <c r="F12" s="258">
        <f t="shared" si="1"/>
        <v>29.55413274850438</v>
      </c>
      <c r="G12" s="257">
        <f t="shared" si="4"/>
        <v>45.45892973632019</v>
      </c>
      <c r="H12" s="259">
        <f t="shared" si="2"/>
        <v>3594350.1</v>
      </c>
      <c r="I12" s="260">
        <f t="shared" si="5"/>
        <v>59.18589879632813</v>
      </c>
    </row>
    <row r="13" spans="1:9" ht="18" customHeight="1">
      <c r="A13" s="261">
        <v>2003</v>
      </c>
      <c r="B13" s="257">
        <v>3485630.5</v>
      </c>
      <c r="C13" s="257">
        <f t="shared" si="0"/>
        <v>69.9758072046064</v>
      </c>
      <c r="D13" s="257">
        <f t="shared" si="3"/>
        <v>37.659266361043336</v>
      </c>
      <c r="E13" s="258">
        <v>1495563.2</v>
      </c>
      <c r="F13" s="258">
        <f t="shared" si="1"/>
        <v>30.0241927953936</v>
      </c>
      <c r="G13" s="257">
        <f t="shared" si="4"/>
        <v>40.78817335182188</v>
      </c>
      <c r="H13" s="259">
        <f t="shared" si="2"/>
        <v>4981193.7</v>
      </c>
      <c r="I13" s="260">
        <f t="shared" si="5"/>
        <v>38.58398768667527</v>
      </c>
    </row>
    <row r="14" spans="1:9" ht="18" customHeight="1" thickBot="1">
      <c r="A14" s="372">
        <v>2004</v>
      </c>
      <c r="B14" s="373">
        <f>+H14-E14</f>
        <v>4024229.128</v>
      </c>
      <c r="C14" s="373">
        <f>+(B14/H14)*100</f>
        <v>60.64521581851837</v>
      </c>
      <c r="D14" s="373">
        <f>(+B14/B13)*100-100</f>
        <v>15.451971400869937</v>
      </c>
      <c r="E14" s="374">
        <v>2611461.872</v>
      </c>
      <c r="F14" s="374">
        <f>+(E14/H14)*100</f>
        <v>39.35478418148163</v>
      </c>
      <c r="G14" s="373">
        <f>(+E14/E13)*100-100</f>
        <v>74.61394289455637</v>
      </c>
      <c r="H14" s="375">
        <v>6635691</v>
      </c>
      <c r="I14" s="376">
        <f>(+H14/H13)*100-100</f>
        <v>33.21487578369016</v>
      </c>
    </row>
    <row r="15" spans="1:9" ht="21.75" customHeight="1" thickBot="1" thickTop="1">
      <c r="A15" s="692" t="s">
        <v>288</v>
      </c>
      <c r="B15" s="692"/>
      <c r="C15" s="692"/>
      <c r="D15" s="692"/>
      <c r="E15" s="692"/>
      <c r="F15" s="692"/>
      <c r="G15" s="692"/>
      <c r="H15" s="692"/>
      <c r="I15" s="692"/>
    </row>
    <row r="16" spans="1:9" ht="13.5" thickTop="1">
      <c r="A16" s="690" t="s">
        <v>63</v>
      </c>
      <c r="B16" s="686" t="s">
        <v>470</v>
      </c>
      <c r="C16" s="686" t="s">
        <v>471</v>
      </c>
      <c r="D16" s="686" t="s">
        <v>96</v>
      </c>
      <c r="E16" s="684" t="s">
        <v>458</v>
      </c>
      <c r="F16" s="686" t="s">
        <v>459</v>
      </c>
      <c r="G16" s="686" t="s">
        <v>96</v>
      </c>
      <c r="H16" s="688" t="s">
        <v>29</v>
      </c>
      <c r="I16" s="693" t="s">
        <v>96</v>
      </c>
    </row>
    <row r="17" spans="1:9" ht="71.25" customHeight="1">
      <c r="A17" s="691"/>
      <c r="B17" s="687"/>
      <c r="C17" s="687"/>
      <c r="D17" s="687"/>
      <c r="E17" s="685"/>
      <c r="F17" s="687"/>
      <c r="G17" s="687"/>
      <c r="H17" s="689"/>
      <c r="I17" s="694"/>
    </row>
    <row r="18" spans="1:9" s="255" customFormat="1" ht="18" customHeight="1">
      <c r="A18" s="261" t="s">
        <v>291</v>
      </c>
      <c r="B18" s="257">
        <f>+H18-E18</f>
        <v>1355206</v>
      </c>
      <c r="C18" s="257">
        <f>+(B18/H18)*100</f>
        <v>18.173352795756532</v>
      </c>
      <c r="D18" s="262">
        <f>(+B18/B14)*100-100</f>
        <v>-66.32383602189364</v>
      </c>
      <c r="E18" s="258">
        <f>3430913+2670986</f>
        <v>6101899</v>
      </c>
      <c r="F18" s="258">
        <f>+(E18/H18)*100</f>
        <v>81.82664720424347</v>
      </c>
      <c r="G18" s="257">
        <f>(+E18/E14)*100-100</f>
        <v>133.65836068388904</v>
      </c>
      <c r="H18" s="259">
        <f>7677105-220000</f>
        <v>7457105</v>
      </c>
      <c r="I18" s="260">
        <f>(+H18/H14)*100-100</f>
        <v>12.378725893053172</v>
      </c>
    </row>
    <row r="19" spans="1:9" ht="30.75" customHeight="1" thickBot="1">
      <c r="A19" s="263" t="s">
        <v>292</v>
      </c>
      <c r="B19" s="264">
        <f>+H19-E19</f>
        <v>153500</v>
      </c>
      <c r="C19" s="264">
        <f>+(B19/H19)*100</f>
        <v>1.4214847746478976</v>
      </c>
      <c r="D19" s="265">
        <f>(+B19/B18)*100-100</f>
        <v>-88.67330870731092</v>
      </c>
      <c r="E19" s="266">
        <f>5060129+2201437+3383502</f>
        <v>10645068</v>
      </c>
      <c r="F19" s="266">
        <f>+(E19/H19)*100</f>
        <v>98.5785152253521</v>
      </c>
      <c r="G19" s="264">
        <f>(+E19/E18)*100-100</f>
        <v>74.45500163145934</v>
      </c>
      <c r="H19" s="267">
        <f>11230568-432000</f>
        <v>10798568</v>
      </c>
      <c r="I19" s="268">
        <f>(+H19/H18)*100-100</f>
        <v>44.80911828383802</v>
      </c>
    </row>
    <row r="20" spans="1:9" ht="31.5" customHeight="1" thickTop="1">
      <c r="A20" s="683" t="s">
        <v>455</v>
      </c>
      <c r="B20" s="683"/>
      <c r="C20" s="683"/>
      <c r="D20" s="683"/>
      <c r="E20" s="683"/>
      <c r="F20" s="683"/>
      <c r="G20" s="683"/>
      <c r="H20" s="683"/>
      <c r="I20" s="683"/>
    </row>
    <row r="21" spans="1:25" ht="12.75">
      <c r="A21" s="692" t="s">
        <v>473</v>
      </c>
      <c r="B21" s="692"/>
      <c r="C21" s="692"/>
      <c r="D21" s="692"/>
      <c r="E21" s="692"/>
      <c r="F21" s="692"/>
      <c r="G21" s="692"/>
      <c r="H21" s="692"/>
      <c r="I21" s="692"/>
      <c r="J21" s="97"/>
      <c r="K21" s="97"/>
      <c r="L21" s="97"/>
      <c r="M21" s="97"/>
      <c r="N21" s="97"/>
      <c r="O21" s="97"/>
      <c r="P21" s="97"/>
      <c r="Q21" s="97"/>
      <c r="R21" s="97"/>
      <c r="S21" s="97"/>
      <c r="T21" s="97"/>
      <c r="U21" s="97"/>
      <c r="V21" s="97"/>
      <c r="W21" s="97"/>
      <c r="X21" s="97"/>
      <c r="Y21" s="97"/>
    </row>
    <row r="22" spans="1:9" ht="40.5" customHeight="1">
      <c r="A22" s="683" t="s">
        <v>692</v>
      </c>
      <c r="B22" s="683"/>
      <c r="C22" s="683"/>
      <c r="D22" s="683"/>
      <c r="E22" s="683"/>
      <c r="F22" s="683"/>
      <c r="G22" s="683"/>
      <c r="H22" s="683"/>
      <c r="I22" s="683"/>
    </row>
    <row r="23" ht="12.75">
      <c r="A23" s="1" t="s">
        <v>474</v>
      </c>
    </row>
    <row r="34" ht="12.75">
      <c r="E34" s="1" t="s">
        <v>53</v>
      </c>
    </row>
  </sheetData>
  <mergeCells count="23">
    <mergeCell ref="A1:I1"/>
    <mergeCell ref="A3:A4"/>
    <mergeCell ref="H3:H4"/>
    <mergeCell ref="I16:I17"/>
    <mergeCell ref="D16:D17"/>
    <mergeCell ref="F3:F4"/>
    <mergeCell ref="G3:G4"/>
    <mergeCell ref="I3:I4"/>
    <mergeCell ref="A15:I15"/>
    <mergeCell ref="B3:B4"/>
    <mergeCell ref="C3:C4"/>
    <mergeCell ref="D3:D4"/>
    <mergeCell ref="E3:E4"/>
    <mergeCell ref="A21:I21"/>
    <mergeCell ref="A22:I22"/>
    <mergeCell ref="A20:I20"/>
    <mergeCell ref="E16:E17"/>
    <mergeCell ref="F16:F17"/>
    <mergeCell ref="G16:G17"/>
    <mergeCell ref="H16:H17"/>
    <mergeCell ref="A16:A17"/>
    <mergeCell ref="B16:B17"/>
    <mergeCell ref="C16:C17"/>
  </mergeCells>
  <printOptions/>
  <pageMargins left="0.75" right="0.75" top="0.54" bottom="0.38" header="0.5" footer="0.5"/>
  <pageSetup horizontalDpi="300" verticalDpi="300" orientation="landscape" paperSize="9"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showGridLines="0" workbookViewId="0" topLeftCell="A10">
      <selection activeCell="H40" sqref="H40"/>
    </sheetView>
  </sheetViews>
  <sheetFormatPr defaultColWidth="9.00390625" defaultRowHeight="12.75"/>
  <cols>
    <col min="1" max="1" width="15.625" style="1" customWidth="1"/>
    <col min="2" max="2" width="14.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7" s="4" customFormat="1" ht="17.25" customHeight="1">
      <c r="A1" s="695" t="s">
        <v>464</v>
      </c>
      <c r="B1" s="565"/>
      <c r="C1" s="565"/>
      <c r="D1" s="565"/>
      <c r="E1" s="565"/>
      <c r="F1" s="565"/>
      <c r="G1" s="565"/>
    </row>
    <row r="2" s="4" customFormat="1" ht="6.75" customHeight="1">
      <c r="A2" s="78"/>
    </row>
    <row r="3" spans="1:6" s="4" customFormat="1" ht="18" customHeight="1" thickBot="1">
      <c r="A3" s="16" t="s">
        <v>462</v>
      </c>
      <c r="F3" s="79"/>
    </row>
    <row r="4" spans="1:7" ht="19.5" customHeight="1" thickTop="1">
      <c r="A4" s="701" t="s">
        <v>63</v>
      </c>
      <c r="B4" s="283" t="s">
        <v>53</v>
      </c>
      <c r="C4" s="699" t="s">
        <v>468</v>
      </c>
      <c r="D4" s="699"/>
      <c r="E4" s="699"/>
      <c r="F4" s="283"/>
      <c r="G4" s="284"/>
    </row>
    <row r="5" spans="1:7" ht="43.5" customHeight="1">
      <c r="A5" s="702"/>
      <c r="B5" s="281" t="s">
        <v>463</v>
      </c>
      <c r="C5" s="269" t="s">
        <v>465</v>
      </c>
      <c r="D5" s="269" t="s">
        <v>466</v>
      </c>
      <c r="E5" s="269" t="s">
        <v>467</v>
      </c>
      <c r="F5" s="281" t="s">
        <v>271</v>
      </c>
      <c r="G5" s="282" t="s">
        <v>272</v>
      </c>
    </row>
    <row r="6" spans="1:7" ht="18" customHeight="1">
      <c r="A6" s="270">
        <v>1995</v>
      </c>
      <c r="B6" s="277">
        <v>44754.5</v>
      </c>
      <c r="C6" s="277">
        <v>17141.8</v>
      </c>
      <c r="D6" s="272" t="s">
        <v>97</v>
      </c>
      <c r="E6" s="272">
        <f aca="true" t="shared" si="0" ref="E6:E14">+C6/B6*100</f>
        <v>38.301846741668435</v>
      </c>
      <c r="F6" s="271"/>
      <c r="G6" s="273"/>
    </row>
    <row r="7" spans="1:7" ht="18" customHeight="1">
      <c r="A7" s="270">
        <v>1996</v>
      </c>
      <c r="B7" s="277">
        <v>87937.2</v>
      </c>
      <c r="C7" s="277">
        <f aca="true" t="shared" si="1" ref="C7:C14">+F7+G7</f>
        <v>32033.6</v>
      </c>
      <c r="D7" s="272">
        <f aca="true" t="shared" si="2" ref="D7:D14">+(C7/C6)*100-100</f>
        <v>86.87419057508546</v>
      </c>
      <c r="E7" s="272">
        <f t="shared" si="0"/>
        <v>36.42781439481812</v>
      </c>
      <c r="F7" s="277">
        <v>27439.3</v>
      </c>
      <c r="G7" s="279">
        <v>4594.3</v>
      </c>
    </row>
    <row r="8" spans="1:7" ht="18" customHeight="1">
      <c r="A8" s="270">
        <v>1997</v>
      </c>
      <c r="B8" s="277">
        <v>199230.4</v>
      </c>
      <c r="C8" s="277">
        <f t="shared" si="1"/>
        <v>71224.4</v>
      </c>
      <c r="D8" s="272">
        <f t="shared" si="2"/>
        <v>122.34279007042605</v>
      </c>
      <c r="E8" s="272">
        <f t="shared" si="0"/>
        <v>35.74976509608975</v>
      </c>
      <c r="F8" s="277">
        <v>60064.7</v>
      </c>
      <c r="G8" s="279">
        <v>11159.7</v>
      </c>
    </row>
    <row r="9" spans="1:7" ht="18" customHeight="1">
      <c r="A9" s="274">
        <v>1998</v>
      </c>
      <c r="B9" s="277">
        <v>406180.4</v>
      </c>
      <c r="C9" s="277">
        <f t="shared" si="1"/>
        <v>165584.5</v>
      </c>
      <c r="D9" s="272">
        <f t="shared" si="2"/>
        <v>132.48282891817973</v>
      </c>
      <c r="E9" s="272">
        <f t="shared" si="0"/>
        <v>40.76624573711582</v>
      </c>
      <c r="F9" s="277">
        <v>138100</v>
      </c>
      <c r="G9" s="279">
        <v>27484.5</v>
      </c>
    </row>
    <row r="10" spans="1:7" ht="18" customHeight="1">
      <c r="A10" s="274">
        <v>1999</v>
      </c>
      <c r="B10" s="277" t="s">
        <v>267</v>
      </c>
      <c r="C10" s="277">
        <f t="shared" si="1"/>
        <v>304016.7</v>
      </c>
      <c r="D10" s="272">
        <f t="shared" si="2"/>
        <v>83.60214875184576</v>
      </c>
      <c r="E10" s="272">
        <f t="shared" si="0"/>
        <v>40.6059707532862</v>
      </c>
      <c r="F10" s="277">
        <v>247198.1</v>
      </c>
      <c r="G10" s="279">
        <v>56818.6</v>
      </c>
    </row>
    <row r="11" spans="1:7" ht="18" customHeight="1">
      <c r="A11" s="274">
        <v>2000</v>
      </c>
      <c r="B11" s="277">
        <v>1280188.8</v>
      </c>
      <c r="C11" s="277">
        <f t="shared" si="1"/>
        <v>572409.2999999999</v>
      </c>
      <c r="D11" s="272">
        <f t="shared" si="2"/>
        <v>88.2821897612861</v>
      </c>
      <c r="E11" s="272">
        <f t="shared" si="0"/>
        <v>44.71288141249165</v>
      </c>
      <c r="F11" s="277">
        <v>445379.1</v>
      </c>
      <c r="G11" s="279">
        <v>127030.2</v>
      </c>
    </row>
    <row r="12" spans="1:7" ht="18" customHeight="1">
      <c r="A12" s="274">
        <v>2001</v>
      </c>
      <c r="B12" s="277">
        <v>2257957.6</v>
      </c>
      <c r="C12" s="277">
        <f t="shared" si="1"/>
        <v>992615.6000000001</v>
      </c>
      <c r="D12" s="272">
        <f t="shared" si="2"/>
        <v>73.4101105624944</v>
      </c>
      <c r="E12" s="272">
        <f t="shared" si="0"/>
        <v>43.96077233691191</v>
      </c>
      <c r="F12" s="277">
        <v>770999.4</v>
      </c>
      <c r="G12" s="279">
        <v>221616.2</v>
      </c>
    </row>
    <row r="13" spans="1:7" ht="18" customHeight="1">
      <c r="A13" s="274">
        <v>2002</v>
      </c>
      <c r="B13" s="277">
        <f>+'[2](19)'!$H$12</f>
        <v>3594350.1</v>
      </c>
      <c r="C13" s="277">
        <v>1878558.2</v>
      </c>
      <c r="D13" s="272">
        <f t="shared" si="2"/>
        <v>89.25334238148179</v>
      </c>
      <c r="E13" s="272">
        <f t="shared" si="0"/>
        <v>52.26419652331585</v>
      </c>
      <c r="F13" s="277">
        <v>1553767.4</v>
      </c>
      <c r="G13" s="279">
        <v>324790.8</v>
      </c>
    </row>
    <row r="14" spans="1:7" ht="18" customHeight="1">
      <c r="A14" s="274">
        <v>2003</v>
      </c>
      <c r="B14" s="277">
        <f>+'[2](19)'!H13</f>
        <v>4981193.7</v>
      </c>
      <c r="C14" s="277">
        <f t="shared" si="1"/>
        <v>2101495.7</v>
      </c>
      <c r="D14" s="272">
        <f t="shared" si="2"/>
        <v>11.867479005973848</v>
      </c>
      <c r="E14" s="272">
        <f t="shared" si="0"/>
        <v>42.18859627964277</v>
      </c>
      <c r="F14" s="277">
        <v>1662127.6</v>
      </c>
      <c r="G14" s="279">
        <v>439368.1</v>
      </c>
    </row>
    <row r="15" spans="1:7" ht="18" customHeight="1">
      <c r="A15" s="274">
        <v>2004</v>
      </c>
      <c r="B15" s="277">
        <f>+'[2](19)'!H14</f>
        <v>6635691</v>
      </c>
      <c r="C15" s="277">
        <f>+F15+G15</f>
        <v>2687750.1</v>
      </c>
      <c r="D15" s="272">
        <f>+(C15/C14)*100-100</f>
        <v>27.897006879433533</v>
      </c>
      <c r="E15" s="272">
        <f>+C15/B15*100</f>
        <v>40.504449348229144</v>
      </c>
      <c r="F15" s="277">
        <v>2159597.5</v>
      </c>
      <c r="G15" s="279">
        <v>528152.6</v>
      </c>
    </row>
    <row r="16" spans="1:7" ht="18" customHeight="1">
      <c r="A16" s="274" t="s">
        <v>72</v>
      </c>
      <c r="B16" s="277">
        <f>+'19'!H18</f>
        <v>7457105</v>
      </c>
      <c r="C16" s="277">
        <f>+F16+G16</f>
        <v>3552939</v>
      </c>
      <c r="D16" s="272">
        <f>+(C16/C15)*100-100</f>
        <v>32.19007972504585</v>
      </c>
      <c r="E16" s="272">
        <f>+C16/B16*100</f>
        <v>47.64501773811687</v>
      </c>
      <c r="F16" s="277">
        <v>881953</v>
      </c>
      <c r="G16" s="279">
        <v>2670986</v>
      </c>
    </row>
    <row r="17" spans="1:7" ht="18" customHeight="1" thickBot="1">
      <c r="A17" s="275" t="s">
        <v>292</v>
      </c>
      <c r="B17" s="278">
        <f>+'19'!H19</f>
        <v>10798568</v>
      </c>
      <c r="C17" s="278">
        <f>+F17+G17</f>
        <v>5060129</v>
      </c>
      <c r="D17" s="276">
        <f>+(C17/C16)*100-100</f>
        <v>42.420936582361804</v>
      </c>
      <c r="E17" s="276">
        <f>+C17/B17*100</f>
        <v>46.859259486998646</v>
      </c>
      <c r="F17" s="278">
        <v>0</v>
      </c>
      <c r="G17" s="280">
        <v>5060129</v>
      </c>
    </row>
    <row r="18" spans="1:7" ht="17.25" customHeight="1" thickTop="1">
      <c r="A18" s="696" t="s">
        <v>469</v>
      </c>
      <c r="B18" s="696"/>
      <c r="C18" s="696"/>
      <c r="D18" s="696"/>
      <c r="E18" s="696"/>
      <c r="F18" s="696"/>
      <c r="G18" s="696"/>
    </row>
    <row r="19" spans="1:7" ht="41.25" customHeight="1">
      <c r="A19" s="700" t="s">
        <v>673</v>
      </c>
      <c r="B19" s="700"/>
      <c r="C19" s="700"/>
      <c r="D19" s="700"/>
      <c r="E19" s="700"/>
      <c r="F19" s="700"/>
      <c r="G19" s="700"/>
    </row>
    <row r="20" spans="1:9" ht="22.5" customHeight="1">
      <c r="A20" s="697" t="s">
        <v>686</v>
      </c>
      <c r="B20" s="698"/>
      <c r="C20" s="698"/>
      <c r="D20" s="698"/>
      <c r="E20" s="698"/>
      <c r="F20" s="698"/>
      <c r="G20" s="698"/>
      <c r="H20" s="285"/>
      <c r="I20" s="285"/>
    </row>
  </sheetData>
  <mergeCells count="6">
    <mergeCell ref="A1:G1"/>
    <mergeCell ref="A18:G18"/>
    <mergeCell ref="A20:G20"/>
    <mergeCell ref="C4:E4"/>
    <mergeCell ref="A19:G19"/>
    <mergeCell ref="A4:A5"/>
  </mergeCells>
  <printOptions/>
  <pageMargins left="0.75" right="0.75" top="1" bottom="1" header="0.5" footer="0.5"/>
  <pageSetup horizontalDpi="300" verticalDpi="300" orientation="portrait" paperSize="9" scale="95" r:id="rId2"/>
  <headerFooter alignWithMargins="0">
    <oddFooter>&amp;C20</oddFooter>
  </headerFooter>
  <ignoredErrors>
    <ignoredError sqref="B10" numberStoredAsText="1"/>
  </ignoredErrors>
  <drawing r:id="rId1"/>
</worksheet>
</file>

<file path=xl/worksheets/sheet23.xml><?xml version="1.0" encoding="utf-8"?>
<worksheet xmlns="http://schemas.openxmlformats.org/spreadsheetml/2006/main" xmlns:r="http://schemas.openxmlformats.org/officeDocument/2006/relationships">
  <sheetPr>
    <tabColor indexed="12"/>
  </sheetPr>
  <dimension ref="A1:F15"/>
  <sheetViews>
    <sheetView showGridLines="0" workbookViewId="0" topLeftCell="A1">
      <selection activeCell="A15" sqref="A15:F15"/>
    </sheetView>
  </sheetViews>
  <sheetFormatPr defaultColWidth="9.00390625" defaultRowHeight="12.75"/>
  <cols>
    <col min="1" max="1" width="20.625" style="1" customWidth="1"/>
    <col min="2" max="2" width="12.75390625" style="1" customWidth="1"/>
    <col min="3" max="3" width="11.00390625" style="1" customWidth="1"/>
    <col min="4" max="4" width="11.75390625" style="1" customWidth="1"/>
    <col min="5" max="5" width="13.25390625" style="1" customWidth="1"/>
    <col min="6" max="6" width="11.625" style="1" customWidth="1"/>
    <col min="7" max="7" width="11.375" style="1" customWidth="1"/>
    <col min="8" max="12" width="9.125" style="1" customWidth="1"/>
    <col min="13" max="13" width="10.00390625" style="1" customWidth="1"/>
    <col min="14" max="15" width="10.375" style="1" customWidth="1"/>
    <col min="16" max="16" width="10.125" style="1" customWidth="1"/>
    <col min="17" max="16384" width="9.125" style="1" customWidth="1"/>
  </cols>
  <sheetData>
    <row r="1" spans="1:6" ht="16.5" customHeight="1">
      <c r="A1" s="538" t="s">
        <v>441</v>
      </c>
      <c r="B1" s="541"/>
      <c r="C1" s="541"/>
      <c r="D1" s="541"/>
      <c r="E1" s="541"/>
      <c r="F1" s="541"/>
    </row>
    <row r="2" spans="1:6" ht="11.25" customHeight="1">
      <c r="A2" s="77"/>
      <c r="B2" s="286"/>
      <c r="C2" s="286"/>
      <c r="D2" s="286"/>
      <c r="E2" s="286"/>
      <c r="F2" s="286"/>
    </row>
    <row r="3" ht="15.75" customHeight="1" thickBot="1">
      <c r="A3" s="16" t="s">
        <v>298</v>
      </c>
    </row>
    <row r="4" spans="1:6" ht="21.75" customHeight="1" thickTop="1">
      <c r="A4" s="293"/>
      <c r="B4" s="294">
        <v>2000</v>
      </c>
      <c r="C4" s="294">
        <v>2001</v>
      </c>
      <c r="D4" s="294">
        <v>2002</v>
      </c>
      <c r="E4" s="295">
        <v>2003</v>
      </c>
      <c r="F4" s="296">
        <v>2004</v>
      </c>
    </row>
    <row r="5" spans="1:6" ht="12.75" customHeight="1">
      <c r="A5" s="287" t="s">
        <v>258</v>
      </c>
      <c r="B5" s="288">
        <v>51114155</v>
      </c>
      <c r="C5" s="288">
        <v>58874712</v>
      </c>
      <c r="D5" s="288">
        <v>65983747</v>
      </c>
      <c r="E5" s="288">
        <v>68493705</v>
      </c>
      <c r="F5" s="289">
        <f>57819958+2680785</f>
        <v>60500743</v>
      </c>
    </row>
    <row r="6" spans="1:6" ht="16.5" customHeight="1">
      <c r="A6" s="287" t="s">
        <v>259</v>
      </c>
      <c r="B6" s="288">
        <v>1222366</v>
      </c>
      <c r="C6" s="288">
        <v>1373097</v>
      </c>
      <c r="D6" s="288">
        <v>1444189</v>
      </c>
      <c r="E6" s="288">
        <v>1499940</v>
      </c>
      <c r="F6" s="289">
        <v>1367977</v>
      </c>
    </row>
    <row r="7" spans="1:6" ht="16.5" customHeight="1">
      <c r="A7" s="287" t="s">
        <v>260</v>
      </c>
      <c r="B7" s="288">
        <v>6863798</v>
      </c>
      <c r="C7" s="288">
        <v>7918170</v>
      </c>
      <c r="D7" s="288">
        <v>8103826</v>
      </c>
      <c r="E7" s="288">
        <v>8133344</v>
      </c>
      <c r="F7" s="289">
        <v>7790522</v>
      </c>
    </row>
    <row r="8" spans="1:6" ht="16.5" customHeight="1">
      <c r="A8" s="287" t="s">
        <v>261</v>
      </c>
      <c r="B8" s="288">
        <v>409174</v>
      </c>
      <c r="C8" s="288">
        <v>521433</v>
      </c>
      <c r="D8" s="288">
        <v>567082</v>
      </c>
      <c r="E8" s="288">
        <v>599036</v>
      </c>
      <c r="F8" s="289">
        <v>518375</v>
      </c>
    </row>
    <row r="9" spans="1:6" ht="16.5" customHeight="1">
      <c r="A9" s="287" t="s">
        <v>262</v>
      </c>
      <c r="B9" s="288">
        <v>213727</v>
      </c>
      <c r="C9" s="288">
        <v>232176</v>
      </c>
      <c r="D9" s="288">
        <v>209622</v>
      </c>
      <c r="E9" s="288">
        <v>211813</v>
      </c>
      <c r="F9" s="289">
        <v>168835</v>
      </c>
    </row>
    <row r="10" spans="1:6" ht="16.5" customHeight="1">
      <c r="A10" s="287" t="s">
        <v>263</v>
      </c>
      <c r="B10" s="288">
        <v>34479848</v>
      </c>
      <c r="C10" s="288">
        <v>40784832</v>
      </c>
      <c r="D10" s="288">
        <v>45752762</v>
      </c>
      <c r="E10" s="288">
        <v>47258455</v>
      </c>
      <c r="F10" s="289">
        <v>51050571</v>
      </c>
    </row>
    <row r="11" spans="1:6" ht="16.5" customHeight="1">
      <c r="A11" s="287" t="s">
        <v>279</v>
      </c>
      <c r="B11" s="288">
        <v>150524728</v>
      </c>
      <c r="C11" s="288">
        <v>170834104</v>
      </c>
      <c r="D11" s="288">
        <v>192667574</v>
      </c>
      <c r="E11" s="288">
        <v>189403285</v>
      </c>
      <c r="F11" s="289">
        <v>200419349</v>
      </c>
    </row>
    <row r="12" spans="1:6" ht="16.5" customHeight="1">
      <c r="A12" s="287" t="s">
        <v>264</v>
      </c>
      <c r="B12" s="288">
        <v>4820519</v>
      </c>
      <c r="C12" s="288">
        <v>5463568</v>
      </c>
      <c r="D12" s="288">
        <v>6046453</v>
      </c>
      <c r="E12" s="288">
        <v>6200403</v>
      </c>
      <c r="F12" s="289">
        <v>5797877</v>
      </c>
    </row>
    <row r="13" spans="1:6" ht="16.5" customHeight="1" thickBot="1">
      <c r="A13" s="290" t="s">
        <v>280</v>
      </c>
      <c r="B13" s="291">
        <v>31261137</v>
      </c>
      <c r="C13" s="291">
        <v>42896256</v>
      </c>
      <c r="D13" s="291">
        <v>51498202</v>
      </c>
      <c r="E13" s="291">
        <v>48650310</v>
      </c>
      <c r="F13" s="292">
        <v>47170815</v>
      </c>
    </row>
    <row r="14" spans="1:6" ht="21.75" customHeight="1" thickTop="1">
      <c r="A14" s="703" t="s">
        <v>281</v>
      </c>
      <c r="B14" s="704"/>
      <c r="C14" s="704"/>
      <c r="D14" s="704"/>
      <c r="E14" s="704"/>
      <c r="F14" s="704"/>
    </row>
    <row r="15" spans="1:6" ht="24" customHeight="1">
      <c r="A15" s="705" t="s">
        <v>282</v>
      </c>
      <c r="B15" s="706"/>
      <c r="C15" s="706"/>
      <c r="D15" s="706"/>
      <c r="E15" s="706"/>
      <c r="F15" s="706"/>
    </row>
  </sheetData>
  <mergeCells count="3">
    <mergeCell ref="A1:F1"/>
    <mergeCell ref="A14:F14"/>
    <mergeCell ref="A15:F15"/>
  </mergeCells>
  <printOptions/>
  <pageMargins left="0.75" right="0.75" top="1.06" bottom="1" header="0.5" footer="0.5"/>
  <pageSetup horizontalDpi="300" verticalDpi="300" orientation="portrait" paperSize="9" r:id="rId2"/>
  <headerFooter alignWithMargins="0">
    <oddFooter>&amp;C21</oddFooter>
  </headerFooter>
  <drawing r:id="rId1"/>
</worksheet>
</file>

<file path=xl/worksheets/sheet24.xml><?xml version="1.0" encoding="utf-8"?>
<worksheet xmlns="http://schemas.openxmlformats.org/spreadsheetml/2006/main" xmlns:r="http://schemas.openxmlformats.org/officeDocument/2006/relationships">
  <sheetPr>
    <tabColor indexed="12"/>
  </sheetPr>
  <dimension ref="A1:I34"/>
  <sheetViews>
    <sheetView showGridLines="0" workbookViewId="0" topLeftCell="A25">
      <selection activeCell="A26" sqref="A26:I26"/>
    </sheetView>
  </sheetViews>
  <sheetFormatPr defaultColWidth="9.00390625" defaultRowHeight="12.75"/>
  <cols>
    <col min="1" max="1" width="13.75390625" style="1" customWidth="1"/>
    <col min="2" max="2" width="11.25390625" style="1" customWidth="1"/>
    <col min="3" max="3" width="8.125" style="1" customWidth="1"/>
    <col min="4" max="4" width="12.375" style="1" customWidth="1"/>
    <col min="5" max="5" width="9.00390625" style="1" customWidth="1"/>
    <col min="6" max="7" width="10.00390625" style="1" customWidth="1"/>
    <col min="8" max="8" width="8.75390625" style="1" customWidth="1"/>
    <col min="9" max="9" width="9.25390625" style="1" customWidth="1"/>
    <col min="10" max="16384" width="9.125" style="1" customWidth="1"/>
  </cols>
  <sheetData>
    <row r="1" spans="1:9" s="4" customFormat="1" ht="15">
      <c r="A1" s="677" t="s">
        <v>299</v>
      </c>
      <c r="B1" s="582"/>
      <c r="C1" s="582"/>
      <c r="D1" s="582"/>
      <c r="E1" s="582"/>
      <c r="F1" s="582"/>
      <c r="G1" s="582"/>
      <c r="H1" s="582"/>
      <c r="I1" s="582"/>
    </row>
    <row r="2" spans="1:9" ht="18" customHeight="1">
      <c r="A2" s="717" t="s">
        <v>300</v>
      </c>
      <c r="B2" s="584"/>
      <c r="C2" s="584"/>
      <c r="D2" s="584"/>
      <c r="E2" s="584"/>
      <c r="F2" s="584"/>
      <c r="G2" s="584"/>
      <c r="H2" s="584"/>
      <c r="I2" s="584"/>
    </row>
    <row r="3" spans="1:9" ht="24.75" customHeight="1" thickBot="1">
      <c r="A3" s="16" t="s">
        <v>319</v>
      </c>
      <c r="I3" s="301" t="s">
        <v>301</v>
      </c>
    </row>
    <row r="4" spans="1:9" ht="42" customHeight="1" thickTop="1">
      <c r="A4" s="714" t="s">
        <v>302</v>
      </c>
      <c r="B4" s="708" t="s">
        <v>303</v>
      </c>
      <c r="C4" s="708"/>
      <c r="D4" s="718" t="s">
        <v>304</v>
      </c>
      <c r="E4" s="718"/>
      <c r="F4" s="708" t="s">
        <v>305</v>
      </c>
      <c r="G4" s="708"/>
      <c r="H4" s="708" t="s">
        <v>29</v>
      </c>
      <c r="I4" s="709"/>
    </row>
    <row r="5" spans="1:9" ht="39.75" customHeight="1">
      <c r="A5" s="715"/>
      <c r="B5" s="302" t="s">
        <v>306</v>
      </c>
      <c r="C5" s="303" t="s">
        <v>307</v>
      </c>
      <c r="D5" s="303" t="s">
        <v>306</v>
      </c>
      <c r="E5" s="303" t="s">
        <v>307</v>
      </c>
      <c r="F5" s="303" t="s">
        <v>306</v>
      </c>
      <c r="G5" s="303" t="s">
        <v>307</v>
      </c>
      <c r="H5" s="303" t="s">
        <v>306</v>
      </c>
      <c r="I5" s="304" t="s">
        <v>307</v>
      </c>
    </row>
    <row r="6" spans="1:9" ht="18" customHeight="1">
      <c r="A6" s="305" t="s">
        <v>308</v>
      </c>
      <c r="B6" s="306">
        <v>50190</v>
      </c>
      <c r="C6" s="306">
        <v>71556</v>
      </c>
      <c r="D6" s="306">
        <v>29012</v>
      </c>
      <c r="E6" s="306" t="s">
        <v>309</v>
      </c>
      <c r="F6" s="306">
        <v>799</v>
      </c>
      <c r="G6" s="306">
        <v>844</v>
      </c>
      <c r="H6" s="306">
        <f>+F6+D6+B6</f>
        <v>80001</v>
      </c>
      <c r="I6" s="307">
        <v>158084</v>
      </c>
    </row>
    <row r="7" spans="1:9" ht="18" customHeight="1">
      <c r="A7" s="305" t="s">
        <v>310</v>
      </c>
      <c r="B7" s="306">
        <v>1605</v>
      </c>
      <c r="C7" s="306">
        <v>3500</v>
      </c>
      <c r="D7" s="306">
        <v>12490</v>
      </c>
      <c r="E7" s="306" t="s">
        <v>311</v>
      </c>
      <c r="F7" s="306">
        <v>0</v>
      </c>
      <c r="G7" s="306">
        <v>0</v>
      </c>
      <c r="H7" s="306">
        <f>+F7+D7+B7</f>
        <v>14095</v>
      </c>
      <c r="I7" s="307">
        <v>19045</v>
      </c>
    </row>
    <row r="8" spans="1:9" ht="16.5" customHeight="1" thickBot="1">
      <c r="A8" s="308" t="s">
        <v>29</v>
      </c>
      <c r="B8" s="309">
        <f>+B7+B6</f>
        <v>51795</v>
      </c>
      <c r="C8" s="309">
        <f>+C7+C6</f>
        <v>75056</v>
      </c>
      <c r="D8" s="309">
        <f>+D7+D6</f>
        <v>41502</v>
      </c>
      <c r="E8" s="309">
        <v>101229</v>
      </c>
      <c r="F8" s="309">
        <f>+F7+F6</f>
        <v>799</v>
      </c>
      <c r="G8" s="309">
        <f>+G7+G6</f>
        <v>844</v>
      </c>
      <c r="H8" s="309">
        <f>+H7+H6</f>
        <v>94096</v>
      </c>
      <c r="I8" s="310">
        <f>+I7+I6</f>
        <v>177129</v>
      </c>
    </row>
    <row r="9" ht="7.5" customHeight="1" thickTop="1"/>
    <row r="10" spans="1:9" ht="26.25" customHeight="1">
      <c r="A10" s="734" t="s">
        <v>321</v>
      </c>
      <c r="B10" s="698"/>
      <c r="C10" s="698"/>
      <c r="D10" s="698"/>
      <c r="E10" s="698"/>
      <c r="F10" s="698"/>
      <c r="G10" s="698"/>
      <c r="H10" s="698"/>
      <c r="I10" s="698"/>
    </row>
    <row r="11" spans="1:9" ht="30.75" customHeight="1">
      <c r="A11" s="734" t="s">
        <v>322</v>
      </c>
      <c r="B11" s="698"/>
      <c r="C11" s="698"/>
      <c r="D11" s="698"/>
      <c r="E11" s="698"/>
      <c r="F11" s="698"/>
      <c r="G11" s="698"/>
      <c r="H11" s="698"/>
      <c r="I11" s="698"/>
    </row>
    <row r="12" spans="1:9" ht="27" customHeight="1">
      <c r="A12" s="734" t="s">
        <v>323</v>
      </c>
      <c r="B12" s="735"/>
      <c r="C12" s="735"/>
      <c r="D12" s="735"/>
      <c r="E12" s="735"/>
      <c r="F12" s="735"/>
      <c r="G12" s="735"/>
      <c r="H12" s="735"/>
      <c r="I12" s="735"/>
    </row>
    <row r="13" ht="12.75">
      <c r="A13" s="298" t="s">
        <v>53</v>
      </c>
    </row>
    <row r="14" spans="1:9" ht="19.5" customHeight="1">
      <c r="A14" s="677" t="s">
        <v>312</v>
      </c>
      <c r="B14" s="582"/>
      <c r="C14" s="582"/>
      <c r="D14" s="582"/>
      <c r="E14" s="582"/>
      <c r="F14" s="582"/>
      <c r="G14" s="582"/>
      <c r="H14" s="582"/>
      <c r="I14" s="582"/>
    </row>
    <row r="15" spans="1:9" ht="19.5" customHeight="1">
      <c r="A15" s="717" t="s">
        <v>313</v>
      </c>
      <c r="B15" s="584"/>
      <c r="C15" s="584"/>
      <c r="D15" s="584"/>
      <c r="E15" s="584"/>
      <c r="F15" s="584"/>
      <c r="G15" s="584"/>
      <c r="H15" s="584"/>
      <c r="I15" s="584"/>
    </row>
    <row r="16" spans="1:9" ht="19.5" customHeight="1">
      <c r="A16" s="717" t="s">
        <v>693</v>
      </c>
      <c r="B16" s="584"/>
      <c r="C16" s="584"/>
      <c r="D16" s="584"/>
      <c r="E16" s="584"/>
      <c r="F16" s="584"/>
      <c r="G16" s="584"/>
      <c r="H16" s="584"/>
      <c r="I16" s="584"/>
    </row>
    <row r="17" spans="1:9" ht="21" customHeight="1" thickBot="1">
      <c r="A17" s="16" t="s">
        <v>320</v>
      </c>
      <c r="G17" s="11"/>
      <c r="I17" s="11" t="s">
        <v>301</v>
      </c>
    </row>
    <row r="18" spans="1:9" ht="12.75" customHeight="1" thickTop="1">
      <c r="A18" s="720" t="s">
        <v>302</v>
      </c>
      <c r="B18" s="719" t="s">
        <v>303</v>
      </c>
      <c r="C18" s="719"/>
      <c r="D18" s="719" t="s">
        <v>314</v>
      </c>
      <c r="E18" s="719"/>
      <c r="F18" s="722" t="s">
        <v>29</v>
      </c>
      <c r="G18" s="723"/>
      <c r="H18" s="724"/>
      <c r="I18" s="725"/>
    </row>
    <row r="19" spans="1:9" ht="12.75">
      <c r="A19" s="721"/>
      <c r="B19" s="459" t="s">
        <v>315</v>
      </c>
      <c r="C19" s="459" t="s">
        <v>307</v>
      </c>
      <c r="D19" s="459" t="s">
        <v>315</v>
      </c>
      <c r="E19" s="459" t="s">
        <v>307</v>
      </c>
      <c r="F19" s="729" t="s">
        <v>315</v>
      </c>
      <c r="G19" s="733"/>
      <c r="H19" s="729" t="s">
        <v>307</v>
      </c>
      <c r="I19" s="730"/>
    </row>
    <row r="20" spans="1:9" ht="30.75" customHeight="1">
      <c r="A20" s="460" t="s">
        <v>310</v>
      </c>
      <c r="B20" s="461">
        <v>7730</v>
      </c>
      <c r="C20" s="461">
        <v>17220</v>
      </c>
      <c r="D20" s="461">
        <v>2964</v>
      </c>
      <c r="E20" s="461">
        <v>10000</v>
      </c>
      <c r="F20" s="731">
        <f>+D20+B20</f>
        <v>10694</v>
      </c>
      <c r="G20" s="736">
        <f>+C20+E20</f>
        <v>27220</v>
      </c>
      <c r="H20" s="731">
        <f>+E20+C20</f>
        <v>27220</v>
      </c>
      <c r="I20" s="732"/>
    </row>
    <row r="21" spans="1:9" ht="26.25" customHeight="1" thickBot="1">
      <c r="A21" s="462" t="s">
        <v>29</v>
      </c>
      <c r="B21" s="463">
        <f aca="true" t="shared" si="0" ref="B21:G21">SUM(B20)</f>
        <v>7730</v>
      </c>
      <c r="C21" s="463">
        <f t="shared" si="0"/>
        <v>17220</v>
      </c>
      <c r="D21" s="463">
        <f t="shared" si="0"/>
        <v>2964</v>
      </c>
      <c r="E21" s="463">
        <f t="shared" si="0"/>
        <v>10000</v>
      </c>
      <c r="F21" s="726">
        <v>7730</v>
      </c>
      <c r="G21" s="727">
        <f t="shared" si="0"/>
        <v>27220</v>
      </c>
      <c r="H21" s="726">
        <v>27220</v>
      </c>
      <c r="I21" s="728"/>
    </row>
    <row r="22" spans="1:9" ht="26.25" customHeight="1" thickTop="1">
      <c r="A22" s="710" t="s">
        <v>688</v>
      </c>
      <c r="B22" s="710"/>
      <c r="C22" s="710"/>
      <c r="D22" s="710"/>
      <c r="E22" s="710"/>
      <c r="F22" s="710"/>
      <c r="G22" s="710"/>
      <c r="H22" s="711"/>
      <c r="I22" s="711"/>
    </row>
    <row r="23" spans="1:9" s="285" customFormat="1" ht="71.25" customHeight="1">
      <c r="A23" s="712" t="s">
        <v>325</v>
      </c>
      <c r="B23" s="697"/>
      <c r="C23" s="697"/>
      <c r="D23" s="697"/>
      <c r="E23" s="697"/>
      <c r="F23" s="697"/>
      <c r="G23" s="697"/>
      <c r="H23" s="698"/>
      <c r="I23" s="698"/>
    </row>
    <row r="24" spans="1:9" ht="14.25" customHeight="1">
      <c r="A24" s="712"/>
      <c r="B24" s="713"/>
      <c r="C24" s="713"/>
      <c r="D24" s="713"/>
      <c r="E24" s="713"/>
      <c r="F24" s="713"/>
      <c r="G24" s="713"/>
      <c r="H24" s="713"/>
      <c r="I24" s="713"/>
    </row>
    <row r="25" spans="1:9" ht="20.25" customHeight="1">
      <c r="A25" s="677" t="s">
        <v>316</v>
      </c>
      <c r="B25" s="582"/>
      <c r="C25" s="582"/>
      <c r="D25" s="582"/>
      <c r="E25" s="582"/>
      <c r="F25" s="582"/>
      <c r="G25" s="582"/>
      <c r="H25" s="582"/>
      <c r="I25" s="582"/>
    </row>
    <row r="26" spans="1:9" ht="18.75" customHeight="1">
      <c r="A26" s="717" t="s">
        <v>317</v>
      </c>
      <c r="B26" s="584"/>
      <c r="C26" s="584"/>
      <c r="D26" s="584"/>
      <c r="E26" s="584"/>
      <c r="F26" s="584"/>
      <c r="G26" s="584"/>
      <c r="H26" s="584"/>
      <c r="I26" s="584"/>
    </row>
    <row r="27" spans="1:9" ht="18.75" customHeight="1">
      <c r="A27" s="300"/>
      <c r="B27" s="80"/>
      <c r="C27" s="677" t="s">
        <v>696</v>
      </c>
      <c r="D27" s="707"/>
      <c r="E27" s="707"/>
      <c r="F27" s="707"/>
      <c r="G27" s="80"/>
      <c r="H27" s="80"/>
      <c r="I27" s="80"/>
    </row>
    <row r="28" spans="1:9" s="14" customFormat="1" ht="16.5" thickBot="1">
      <c r="A28" s="16" t="s">
        <v>324</v>
      </c>
      <c r="H28" s="716" t="s">
        <v>318</v>
      </c>
      <c r="I28" s="716"/>
    </row>
    <row r="29" spans="1:9" ht="13.5" thickTop="1">
      <c r="A29" s="714" t="s">
        <v>302</v>
      </c>
      <c r="B29" s="708" t="s">
        <v>303</v>
      </c>
      <c r="C29" s="708"/>
      <c r="D29" s="718" t="s">
        <v>314</v>
      </c>
      <c r="E29" s="718"/>
      <c r="F29" s="708" t="s">
        <v>305</v>
      </c>
      <c r="G29" s="708"/>
      <c r="H29" s="708" t="s">
        <v>29</v>
      </c>
      <c r="I29" s="709"/>
    </row>
    <row r="30" spans="1:9" ht="12.75">
      <c r="A30" s="715"/>
      <c r="B30" s="302" t="s">
        <v>306</v>
      </c>
      <c r="C30" s="303" t="s">
        <v>307</v>
      </c>
      <c r="D30" s="303" t="s">
        <v>306</v>
      </c>
      <c r="E30" s="303" t="s">
        <v>307</v>
      </c>
      <c r="F30" s="303" t="s">
        <v>306</v>
      </c>
      <c r="G30" s="303" t="s">
        <v>307</v>
      </c>
      <c r="H30" s="303" t="s">
        <v>306</v>
      </c>
      <c r="I30" s="304" t="s">
        <v>307</v>
      </c>
    </row>
    <row r="31" spans="1:9" ht="13.5" thickBot="1">
      <c r="A31" s="308" t="s">
        <v>310</v>
      </c>
      <c r="B31" s="311">
        <v>2334</v>
      </c>
      <c r="C31" s="311">
        <v>22830</v>
      </c>
      <c r="D31" s="311">
        <v>0</v>
      </c>
      <c r="E31" s="311">
        <v>5400</v>
      </c>
      <c r="F31" s="311">
        <v>0</v>
      </c>
      <c r="G31" s="311">
        <v>770</v>
      </c>
      <c r="H31" s="311">
        <f>+F31+D31+B31</f>
        <v>2334</v>
      </c>
      <c r="I31" s="312">
        <f>+C31+E31+G31</f>
        <v>29000</v>
      </c>
    </row>
    <row r="32" ht="4.5" customHeight="1" thickTop="1"/>
    <row r="33" spans="1:9" ht="37.5" customHeight="1">
      <c r="A33" s="697" t="s">
        <v>461</v>
      </c>
      <c r="B33" s="697"/>
      <c r="C33" s="697"/>
      <c r="D33" s="697"/>
      <c r="E33" s="697"/>
      <c r="F33" s="697"/>
      <c r="G33" s="697"/>
      <c r="H33" s="698"/>
      <c r="I33" s="698"/>
    </row>
    <row r="34" spans="1:9" ht="12.75">
      <c r="A34" s="297"/>
      <c r="B34" s="6"/>
      <c r="C34" s="6"/>
      <c r="D34" s="6"/>
      <c r="E34" s="6"/>
      <c r="F34" s="6" t="s">
        <v>53</v>
      </c>
      <c r="G34" s="6"/>
      <c r="H34" s="6"/>
      <c r="I34" s="6" t="s">
        <v>53</v>
      </c>
    </row>
  </sheetData>
  <mergeCells count="36">
    <mergeCell ref="A10:I10"/>
    <mergeCell ref="A11:I11"/>
    <mergeCell ref="A12:I12"/>
    <mergeCell ref="F20:G20"/>
    <mergeCell ref="F21:G21"/>
    <mergeCell ref="H21:I21"/>
    <mergeCell ref="H19:I19"/>
    <mergeCell ref="H20:I20"/>
    <mergeCell ref="F19:G19"/>
    <mergeCell ref="A1:I1"/>
    <mergeCell ref="A2:I2"/>
    <mergeCell ref="B4:C4"/>
    <mergeCell ref="D4:E4"/>
    <mergeCell ref="F4:G4"/>
    <mergeCell ref="H4:I4"/>
    <mergeCell ref="A4:A5"/>
    <mergeCell ref="B29:C29"/>
    <mergeCell ref="D29:E29"/>
    <mergeCell ref="F29:G29"/>
    <mergeCell ref="A14:I14"/>
    <mergeCell ref="A15:I15"/>
    <mergeCell ref="A16:I16"/>
    <mergeCell ref="B18:C18"/>
    <mergeCell ref="D18:E18"/>
    <mergeCell ref="A18:A19"/>
    <mergeCell ref="F18:I18"/>
    <mergeCell ref="C27:F27"/>
    <mergeCell ref="H29:I29"/>
    <mergeCell ref="A33:I33"/>
    <mergeCell ref="A22:I22"/>
    <mergeCell ref="A23:I23"/>
    <mergeCell ref="A24:I24"/>
    <mergeCell ref="A29:A30"/>
    <mergeCell ref="H28:I28"/>
    <mergeCell ref="A25:I25"/>
    <mergeCell ref="A26:I26"/>
  </mergeCells>
  <printOptions/>
  <pageMargins left="0.75" right="0.75" top="1" bottom="1" header="0.5" footer="0.5"/>
  <pageSetup horizontalDpi="300" verticalDpi="300" orientation="portrait" paperSize="9" scale="95"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sheetPr>
    <tabColor indexed="12"/>
  </sheetPr>
  <dimension ref="A1:G101"/>
  <sheetViews>
    <sheetView showGridLines="0" workbookViewId="0" topLeftCell="A85">
      <selection activeCell="C101" sqref="C100:C101"/>
    </sheetView>
  </sheetViews>
  <sheetFormatPr defaultColWidth="9.00390625" defaultRowHeight="12.75"/>
  <cols>
    <col min="1" max="1" width="3.875" style="52" customWidth="1"/>
    <col min="2" max="2" width="21.375" style="97" customWidth="1"/>
    <col min="3" max="3" width="17.375" style="1" customWidth="1"/>
    <col min="4" max="4" width="32.625" style="395" customWidth="1"/>
    <col min="5" max="16384" width="9.125" style="1" customWidth="1"/>
  </cols>
  <sheetData>
    <row r="1" spans="1:4" s="6" customFormat="1" ht="15.75">
      <c r="A1" s="737" t="s">
        <v>697</v>
      </c>
      <c r="B1" s="737"/>
      <c r="C1" s="737"/>
      <c r="D1" s="737"/>
    </row>
    <row r="2" spans="1:4" s="6" customFormat="1" ht="18" customHeight="1">
      <c r="A2" s="737" t="s">
        <v>487</v>
      </c>
      <c r="B2" s="737"/>
      <c r="C2" s="737"/>
      <c r="D2" s="737"/>
    </row>
    <row r="3" spans="1:4" s="6" customFormat="1" ht="12">
      <c r="A3" s="738" t="s">
        <v>641</v>
      </c>
      <c r="B3" s="738"/>
      <c r="C3" s="738"/>
      <c r="D3" s="738"/>
    </row>
    <row r="4" spans="1:4" s="6" customFormat="1" ht="12">
      <c r="A4" s="738" t="s">
        <v>642</v>
      </c>
      <c r="B4" s="738"/>
      <c r="C4" s="738"/>
      <c r="D4" s="738"/>
    </row>
    <row r="5" spans="1:4" s="6" customFormat="1" ht="18" customHeight="1" thickBot="1">
      <c r="A5" s="739" t="s">
        <v>643</v>
      </c>
      <c r="B5" s="739"/>
      <c r="C5" s="739"/>
      <c r="D5" s="739"/>
    </row>
    <row r="6" spans="1:4" s="52" customFormat="1" ht="15" customHeight="1" thickTop="1">
      <c r="A6" s="740" t="s">
        <v>488</v>
      </c>
      <c r="B6" s="742" t="s">
        <v>644</v>
      </c>
      <c r="C6" s="742" t="s">
        <v>640</v>
      </c>
      <c r="D6" s="744" t="s">
        <v>674</v>
      </c>
    </row>
    <row r="7" spans="1:4" s="52" customFormat="1" ht="45.75" customHeight="1">
      <c r="A7" s="741"/>
      <c r="B7" s="743"/>
      <c r="C7" s="743"/>
      <c r="D7" s="745"/>
    </row>
    <row r="8" spans="1:4" s="97" customFormat="1" ht="13.5" customHeight="1">
      <c r="A8" s="396" t="s">
        <v>489</v>
      </c>
      <c r="B8" s="397" t="s">
        <v>490</v>
      </c>
      <c r="C8" s="398">
        <v>21422</v>
      </c>
      <c r="D8" s="399">
        <v>155212</v>
      </c>
    </row>
    <row r="9" spans="1:4" s="97" customFormat="1" ht="13.5" customHeight="1">
      <c r="A9" s="396" t="s">
        <v>491</v>
      </c>
      <c r="B9" s="397" t="s">
        <v>492</v>
      </c>
      <c r="C9" s="398">
        <v>2549</v>
      </c>
      <c r="D9" s="399">
        <v>21629</v>
      </c>
    </row>
    <row r="10" spans="1:4" ht="13.5" customHeight="1">
      <c r="A10" s="396" t="s">
        <v>493</v>
      </c>
      <c r="B10" s="397" t="s">
        <v>494</v>
      </c>
      <c r="C10" s="398">
        <v>7668</v>
      </c>
      <c r="D10" s="399">
        <v>46031</v>
      </c>
    </row>
    <row r="11" spans="1:4" ht="13.5" customHeight="1">
      <c r="A11" s="396" t="s">
        <v>495</v>
      </c>
      <c r="B11" s="397" t="s">
        <v>496</v>
      </c>
      <c r="C11" s="398">
        <v>829</v>
      </c>
      <c r="D11" s="399">
        <v>6144</v>
      </c>
    </row>
    <row r="12" spans="1:4" ht="13.5" customHeight="1">
      <c r="A12" s="396" t="s">
        <v>497</v>
      </c>
      <c r="B12" s="397" t="s">
        <v>498</v>
      </c>
      <c r="C12" s="398">
        <v>3462</v>
      </c>
      <c r="D12" s="399">
        <v>19917</v>
      </c>
    </row>
    <row r="13" spans="1:4" ht="13.5" customHeight="1">
      <c r="A13" s="396" t="s">
        <v>499</v>
      </c>
      <c r="B13" s="397" t="s">
        <v>500</v>
      </c>
      <c r="C13" s="398">
        <f>42264+41918</f>
        <v>84182</v>
      </c>
      <c r="D13" s="399">
        <f>331470+303821</f>
        <v>635291</v>
      </c>
    </row>
    <row r="14" spans="1:4" ht="13.5" customHeight="1">
      <c r="A14" s="396" t="s">
        <v>501</v>
      </c>
      <c r="B14" s="397" t="s">
        <v>502</v>
      </c>
      <c r="C14" s="398">
        <v>35984</v>
      </c>
      <c r="D14" s="399">
        <v>287408</v>
      </c>
    </row>
    <row r="15" spans="1:4" ht="13.5" customHeight="1">
      <c r="A15" s="396" t="s">
        <v>503</v>
      </c>
      <c r="B15" s="397" t="s">
        <v>504</v>
      </c>
      <c r="C15" s="398">
        <v>1796</v>
      </c>
      <c r="D15" s="399">
        <v>11752</v>
      </c>
    </row>
    <row r="16" spans="1:4" ht="13.5" customHeight="1">
      <c r="A16" s="396" t="s">
        <v>505</v>
      </c>
      <c r="B16" s="397" t="s">
        <v>506</v>
      </c>
      <c r="C16" s="398">
        <v>16563</v>
      </c>
      <c r="D16" s="399">
        <v>81280</v>
      </c>
    </row>
    <row r="17" spans="1:4" ht="13.5" customHeight="1">
      <c r="A17" s="256">
        <v>10</v>
      </c>
      <c r="B17" s="397" t="s">
        <v>507</v>
      </c>
      <c r="C17" s="398">
        <v>17007</v>
      </c>
      <c r="D17" s="399">
        <v>89902</v>
      </c>
    </row>
    <row r="18" spans="1:4" ht="13.5" customHeight="1">
      <c r="A18" s="256">
        <f aca="true" t="shared" si="0" ref="A18:A49">+A17+1</f>
        <v>11</v>
      </c>
      <c r="B18" s="397" t="s">
        <v>508</v>
      </c>
      <c r="C18" s="398">
        <v>2833</v>
      </c>
      <c r="D18" s="399">
        <v>31522</v>
      </c>
    </row>
    <row r="19" spans="1:4" ht="13.5" customHeight="1">
      <c r="A19" s="256">
        <f t="shared" si="0"/>
        <v>12</v>
      </c>
      <c r="B19" s="397" t="s">
        <v>509</v>
      </c>
      <c r="C19" s="398">
        <v>747</v>
      </c>
      <c r="D19" s="399">
        <v>5869</v>
      </c>
    </row>
    <row r="20" spans="1:4" ht="13.5" customHeight="1">
      <c r="A20" s="256">
        <f t="shared" si="0"/>
        <v>13</v>
      </c>
      <c r="B20" s="397" t="s">
        <v>510</v>
      </c>
      <c r="C20" s="398">
        <v>931</v>
      </c>
      <c r="D20" s="399">
        <v>6604</v>
      </c>
    </row>
    <row r="21" spans="1:4" ht="13.5" customHeight="1">
      <c r="A21" s="256">
        <f t="shared" si="0"/>
        <v>14</v>
      </c>
      <c r="B21" s="397" t="s">
        <v>511</v>
      </c>
      <c r="C21" s="398">
        <f>8271-4025</f>
        <v>4246</v>
      </c>
      <c r="D21" s="399">
        <f>68529-36344</f>
        <v>32185</v>
      </c>
    </row>
    <row r="22" spans="1:4" ht="13.5" customHeight="1">
      <c r="A22" s="256">
        <f t="shared" si="0"/>
        <v>15</v>
      </c>
      <c r="B22" s="397" t="s">
        <v>512</v>
      </c>
      <c r="C22" s="398">
        <v>3574</v>
      </c>
      <c r="D22" s="399">
        <v>18358</v>
      </c>
    </row>
    <row r="23" spans="1:4" ht="13.5" customHeight="1">
      <c r="A23" s="256">
        <f t="shared" si="0"/>
        <v>16</v>
      </c>
      <c r="B23" s="397" t="s">
        <v>513</v>
      </c>
      <c r="C23" s="398">
        <v>42057</v>
      </c>
      <c r="D23" s="399">
        <v>389565</v>
      </c>
    </row>
    <row r="24" spans="1:4" ht="13.5" customHeight="1">
      <c r="A24" s="256">
        <f t="shared" si="0"/>
        <v>17</v>
      </c>
      <c r="B24" s="397" t="s">
        <v>514</v>
      </c>
      <c r="C24" s="398">
        <v>7835</v>
      </c>
      <c r="D24" s="399">
        <v>41925</v>
      </c>
    </row>
    <row r="25" spans="1:4" ht="13.5" customHeight="1">
      <c r="A25" s="256">
        <f t="shared" si="0"/>
        <v>18</v>
      </c>
      <c r="B25" s="397" t="s">
        <v>515</v>
      </c>
      <c r="C25" s="398">
        <v>1955</v>
      </c>
      <c r="D25" s="399">
        <v>12002</v>
      </c>
    </row>
    <row r="26" spans="1:4" ht="13.5" customHeight="1">
      <c r="A26" s="256">
        <f t="shared" si="0"/>
        <v>19</v>
      </c>
      <c r="B26" s="397" t="s">
        <v>516</v>
      </c>
      <c r="C26" s="398">
        <v>5646</v>
      </c>
      <c r="D26" s="399">
        <v>35436</v>
      </c>
    </row>
    <row r="27" spans="1:4" ht="13.5" customHeight="1">
      <c r="A27" s="256">
        <f t="shared" si="0"/>
        <v>20</v>
      </c>
      <c r="B27" s="397" t="s">
        <v>517</v>
      </c>
      <c r="C27" s="398">
        <v>15598</v>
      </c>
      <c r="D27" s="399">
        <v>131868</v>
      </c>
    </row>
    <row r="28" spans="1:4" ht="13.5" customHeight="1">
      <c r="A28" s="256">
        <f t="shared" si="0"/>
        <v>21</v>
      </c>
      <c r="B28" s="397" t="s">
        <v>518</v>
      </c>
      <c r="C28" s="398">
        <v>7137</v>
      </c>
      <c r="D28" s="399">
        <v>53379</v>
      </c>
    </row>
    <row r="29" spans="1:4" ht="13.5" customHeight="1">
      <c r="A29" s="256">
        <f t="shared" si="0"/>
        <v>22</v>
      </c>
      <c r="B29" s="397" t="s">
        <v>519</v>
      </c>
      <c r="C29" s="398">
        <v>5861</v>
      </c>
      <c r="D29" s="399">
        <v>31630</v>
      </c>
    </row>
    <row r="30" spans="1:4" ht="13.5" customHeight="1">
      <c r="A30" s="256">
        <f t="shared" si="0"/>
        <v>23</v>
      </c>
      <c r="B30" s="397" t="s">
        <v>520</v>
      </c>
      <c r="C30" s="398">
        <v>3666</v>
      </c>
      <c r="D30" s="399">
        <v>30681</v>
      </c>
    </row>
    <row r="31" spans="1:4" ht="13.5" customHeight="1">
      <c r="A31" s="256">
        <f t="shared" si="0"/>
        <v>24</v>
      </c>
      <c r="B31" s="397" t="s">
        <v>521</v>
      </c>
      <c r="C31" s="398">
        <v>1851</v>
      </c>
      <c r="D31" s="399">
        <v>13281</v>
      </c>
    </row>
    <row r="32" spans="1:4" ht="13.5" customHeight="1">
      <c r="A32" s="256">
        <f t="shared" si="0"/>
        <v>25</v>
      </c>
      <c r="B32" s="397" t="s">
        <v>522</v>
      </c>
      <c r="C32" s="398">
        <v>6030</v>
      </c>
      <c r="D32" s="399">
        <v>37034</v>
      </c>
    </row>
    <row r="33" spans="1:4" ht="13.5" customHeight="1">
      <c r="A33" s="256">
        <f t="shared" si="0"/>
        <v>26</v>
      </c>
      <c r="B33" s="397" t="s">
        <v>523</v>
      </c>
      <c r="C33" s="398">
        <v>12067</v>
      </c>
      <c r="D33" s="399">
        <v>99029</v>
      </c>
    </row>
    <row r="34" spans="1:4" ht="13.5" customHeight="1">
      <c r="A34" s="256">
        <f t="shared" si="0"/>
        <v>27</v>
      </c>
      <c r="B34" s="397" t="s">
        <v>524</v>
      </c>
      <c r="C34" s="398">
        <v>13586</v>
      </c>
      <c r="D34" s="399">
        <v>105553</v>
      </c>
    </row>
    <row r="35" spans="1:4" ht="13.5" customHeight="1">
      <c r="A35" s="256">
        <f t="shared" si="0"/>
        <v>28</v>
      </c>
      <c r="B35" s="397" t="s">
        <v>525</v>
      </c>
      <c r="C35" s="398">
        <v>4768</v>
      </c>
      <c r="D35" s="399">
        <v>24533</v>
      </c>
    </row>
    <row r="36" spans="1:4" ht="13.5" customHeight="1">
      <c r="A36" s="256">
        <f t="shared" si="0"/>
        <v>29</v>
      </c>
      <c r="B36" s="397" t="s">
        <v>526</v>
      </c>
      <c r="C36" s="398">
        <v>1095</v>
      </c>
      <c r="D36" s="399">
        <v>6114</v>
      </c>
    </row>
    <row r="37" spans="1:4" ht="13.5" customHeight="1">
      <c r="A37" s="256">
        <f t="shared" si="0"/>
        <v>30</v>
      </c>
      <c r="B37" s="397" t="s">
        <v>527</v>
      </c>
      <c r="C37" s="398">
        <v>462</v>
      </c>
      <c r="D37" s="399">
        <v>4170</v>
      </c>
    </row>
    <row r="38" spans="1:4" ht="13.5" customHeight="1">
      <c r="A38" s="256">
        <f t="shared" si="0"/>
        <v>31</v>
      </c>
      <c r="B38" s="397" t="s">
        <v>528</v>
      </c>
      <c r="C38" s="398">
        <v>10614</v>
      </c>
      <c r="D38" s="399">
        <v>70248</v>
      </c>
    </row>
    <row r="39" spans="1:4" ht="13.5" customHeight="1">
      <c r="A39" s="256">
        <f t="shared" si="0"/>
        <v>32</v>
      </c>
      <c r="B39" s="397" t="s">
        <v>529</v>
      </c>
      <c r="C39" s="398">
        <v>4834</v>
      </c>
      <c r="D39" s="399">
        <v>29400</v>
      </c>
    </row>
    <row r="40" spans="1:4" ht="13.5" customHeight="1">
      <c r="A40" s="256">
        <f t="shared" si="0"/>
        <v>33</v>
      </c>
      <c r="B40" s="397" t="s">
        <v>639</v>
      </c>
      <c r="C40" s="398">
        <f>14500+3285</f>
        <v>17785</v>
      </c>
      <c r="D40" s="399">
        <f>20294+84237</f>
        <v>104531</v>
      </c>
    </row>
    <row r="41" spans="1:4" ht="13.5" customHeight="1">
      <c r="A41" s="256">
        <f t="shared" si="0"/>
        <v>34</v>
      </c>
      <c r="B41" s="397" t="s">
        <v>530</v>
      </c>
      <c r="C41" s="472">
        <v>289530</v>
      </c>
      <c r="D41" s="399">
        <v>2270679</v>
      </c>
    </row>
    <row r="42" spans="1:4" ht="13.5" customHeight="1">
      <c r="A42" s="256">
        <f t="shared" si="0"/>
        <v>35</v>
      </c>
      <c r="B42" s="397" t="s">
        <v>531</v>
      </c>
      <c r="C42" s="398">
        <v>77451</v>
      </c>
      <c r="D42" s="399">
        <v>535645</v>
      </c>
    </row>
    <row r="43" spans="1:4" ht="13.5" customHeight="1">
      <c r="A43" s="256">
        <f t="shared" si="0"/>
        <v>36</v>
      </c>
      <c r="B43" s="397" t="s">
        <v>532</v>
      </c>
      <c r="C43" s="398">
        <v>1368</v>
      </c>
      <c r="D43" s="399">
        <v>8061</v>
      </c>
    </row>
    <row r="44" spans="1:4" ht="13.5" customHeight="1">
      <c r="A44" s="256">
        <f t="shared" si="0"/>
        <v>37</v>
      </c>
      <c r="B44" s="397" t="s">
        <v>533</v>
      </c>
      <c r="C44" s="398">
        <v>3967</v>
      </c>
      <c r="D44" s="399">
        <v>21015</v>
      </c>
    </row>
    <row r="45" spans="1:4" ht="13.5" customHeight="1">
      <c r="A45" s="256">
        <f t="shared" si="0"/>
        <v>38</v>
      </c>
      <c r="B45" s="397" t="s">
        <v>534</v>
      </c>
      <c r="C45" s="398">
        <v>14885</v>
      </c>
      <c r="D45" s="399">
        <v>124599</v>
      </c>
    </row>
    <row r="46" spans="1:4" ht="13.5" customHeight="1">
      <c r="A46" s="256">
        <f t="shared" si="0"/>
        <v>39</v>
      </c>
      <c r="B46" s="397" t="s">
        <v>535</v>
      </c>
      <c r="C46" s="398">
        <v>4759</v>
      </c>
      <c r="D46" s="399">
        <v>39471</v>
      </c>
    </row>
    <row r="47" spans="1:4" ht="13.5" customHeight="1">
      <c r="A47" s="256">
        <f t="shared" si="0"/>
        <v>40</v>
      </c>
      <c r="B47" s="397" t="s">
        <v>536</v>
      </c>
      <c r="C47" s="398">
        <v>2414</v>
      </c>
      <c r="D47" s="399">
        <v>13739</v>
      </c>
    </row>
    <row r="48" spans="1:4" ht="13.5" customHeight="1">
      <c r="A48" s="256">
        <f t="shared" si="0"/>
        <v>41</v>
      </c>
      <c r="B48" s="397" t="s">
        <v>537</v>
      </c>
      <c r="C48" s="398">
        <f>14503+7611</f>
        <v>22114</v>
      </c>
      <c r="D48" s="399">
        <f>118687+127771</f>
        <v>246458</v>
      </c>
    </row>
    <row r="49" spans="1:4" ht="13.5" customHeight="1" thickBot="1">
      <c r="A49" s="400">
        <f t="shared" si="0"/>
        <v>42</v>
      </c>
      <c r="B49" s="401" t="s">
        <v>538</v>
      </c>
      <c r="C49" s="402">
        <v>21727</v>
      </c>
      <c r="D49" s="403">
        <v>140013</v>
      </c>
    </row>
    <row r="50" spans="3:4" ht="13.5" thickTop="1">
      <c r="C50" s="391"/>
      <c r="D50" s="392"/>
    </row>
    <row r="51" spans="3:4" ht="12.75">
      <c r="C51" s="391"/>
      <c r="D51" s="392"/>
    </row>
    <row r="52" spans="3:4" ht="12.75">
      <c r="C52" s="391"/>
      <c r="D52" s="392"/>
    </row>
    <row r="53" spans="3:4" ht="12.75">
      <c r="C53" s="391"/>
      <c r="D53" s="392"/>
    </row>
    <row r="54" spans="2:4" ht="17.25" customHeight="1" thickBot="1">
      <c r="B54" s="22"/>
      <c r="D54" s="393"/>
    </row>
    <row r="55" spans="1:4" s="52" customFormat="1" ht="15" customHeight="1" thickTop="1">
      <c r="A55" s="740" t="s">
        <v>488</v>
      </c>
      <c r="B55" s="742" t="s">
        <v>645</v>
      </c>
      <c r="C55" s="742" t="s">
        <v>640</v>
      </c>
      <c r="D55" s="744" t="s">
        <v>674</v>
      </c>
    </row>
    <row r="56" spans="1:4" s="52" customFormat="1" ht="45.75" customHeight="1">
      <c r="A56" s="741"/>
      <c r="B56" s="743"/>
      <c r="C56" s="743"/>
      <c r="D56" s="745"/>
    </row>
    <row r="57" spans="1:4" ht="13.5" customHeight="1">
      <c r="A57" s="256">
        <v>43</v>
      </c>
      <c r="B57" s="397" t="s">
        <v>539</v>
      </c>
      <c r="C57" s="398">
        <v>7181</v>
      </c>
      <c r="D57" s="399">
        <v>49981</v>
      </c>
    </row>
    <row r="58" spans="1:4" ht="13.5" customHeight="1">
      <c r="A58" s="256">
        <f>+A57+1</f>
        <v>44</v>
      </c>
      <c r="B58" s="397" t="s">
        <v>540</v>
      </c>
      <c r="C58" s="398">
        <v>6842</v>
      </c>
      <c r="D58" s="399">
        <v>47577</v>
      </c>
    </row>
    <row r="59" spans="1:4" ht="13.5" customHeight="1">
      <c r="A59" s="256">
        <f>+A58+1</f>
        <v>45</v>
      </c>
      <c r="B59" s="397" t="s">
        <v>541</v>
      </c>
      <c r="C59" s="398">
        <v>16011</v>
      </c>
      <c r="D59" s="399">
        <v>127690</v>
      </c>
    </row>
    <row r="60" spans="1:4" ht="13.5" customHeight="1">
      <c r="A60" s="256">
        <f>+A59+1</f>
        <v>46</v>
      </c>
      <c r="B60" s="404" t="s">
        <v>542</v>
      </c>
      <c r="C60" s="398">
        <v>6235</v>
      </c>
      <c r="D60" s="399">
        <v>58959</v>
      </c>
    </row>
    <row r="61" spans="1:4" ht="13.5" customHeight="1">
      <c r="A61" s="256">
        <f>+A60+1</f>
        <v>47</v>
      </c>
      <c r="B61" s="405" t="s">
        <v>543</v>
      </c>
      <c r="C61" s="398">
        <v>1651</v>
      </c>
      <c r="D61" s="399">
        <v>13801</v>
      </c>
    </row>
    <row r="62" spans="1:4" ht="13.5" customHeight="1">
      <c r="A62" s="256">
        <f>+A61+1</f>
        <v>48</v>
      </c>
      <c r="B62" s="404" t="s">
        <v>544</v>
      </c>
      <c r="C62" s="398">
        <v>20923</v>
      </c>
      <c r="D62" s="399">
        <v>120018</v>
      </c>
    </row>
    <row r="63" spans="1:4" ht="13.5" customHeight="1">
      <c r="A63" s="256">
        <f aca="true" t="shared" si="1" ref="A63:A94">+A62+1</f>
        <v>49</v>
      </c>
      <c r="B63" s="404" t="s">
        <v>545</v>
      </c>
      <c r="C63" s="398">
        <v>619</v>
      </c>
      <c r="D63" s="399">
        <v>6880</v>
      </c>
    </row>
    <row r="64" spans="1:4" ht="13.5" customHeight="1">
      <c r="A64" s="256">
        <f t="shared" si="1"/>
        <v>50</v>
      </c>
      <c r="B64" s="404" t="s">
        <v>546</v>
      </c>
      <c r="C64" s="398">
        <v>3261</v>
      </c>
      <c r="D64" s="399">
        <v>18131</v>
      </c>
    </row>
    <row r="65" spans="1:4" ht="13.5" customHeight="1">
      <c r="A65" s="256">
        <f t="shared" si="1"/>
        <v>51</v>
      </c>
      <c r="B65" s="404" t="s">
        <v>547</v>
      </c>
      <c r="C65" s="398">
        <v>2749</v>
      </c>
      <c r="D65" s="399">
        <v>18692</v>
      </c>
    </row>
    <row r="66" spans="1:4" ht="13.5" customHeight="1">
      <c r="A66" s="256">
        <f t="shared" si="1"/>
        <v>52</v>
      </c>
      <c r="B66" s="404" t="s">
        <v>548</v>
      </c>
      <c r="C66" s="398">
        <v>7846</v>
      </c>
      <c r="D66" s="399">
        <v>39230</v>
      </c>
    </row>
    <row r="67" spans="1:4" ht="13.5" customHeight="1">
      <c r="A67" s="256">
        <f t="shared" si="1"/>
        <v>53</v>
      </c>
      <c r="B67" s="405" t="s">
        <v>549</v>
      </c>
      <c r="C67" s="398">
        <v>3938</v>
      </c>
      <c r="D67" s="399">
        <v>33336</v>
      </c>
    </row>
    <row r="68" spans="1:4" ht="13.5" customHeight="1">
      <c r="A68" s="256">
        <f t="shared" si="1"/>
        <v>54</v>
      </c>
      <c r="B68" s="404" t="s">
        <v>550</v>
      </c>
      <c r="C68" s="398">
        <v>11225</v>
      </c>
      <c r="D68" s="399">
        <v>82702</v>
      </c>
    </row>
    <row r="69" spans="1:4" ht="13.5" customHeight="1">
      <c r="A69" s="256">
        <f t="shared" si="1"/>
        <v>55</v>
      </c>
      <c r="B69" s="404" t="s">
        <v>551</v>
      </c>
      <c r="C69" s="398">
        <v>13329</v>
      </c>
      <c r="D69" s="399">
        <v>74085</v>
      </c>
    </row>
    <row r="70" spans="1:4" ht="13.5" customHeight="1">
      <c r="A70" s="256">
        <f t="shared" si="1"/>
        <v>56</v>
      </c>
      <c r="B70" s="404" t="s">
        <v>552</v>
      </c>
      <c r="C70" s="398">
        <v>1129</v>
      </c>
      <c r="D70" s="399">
        <v>8044</v>
      </c>
    </row>
    <row r="71" spans="1:4" ht="13.5" customHeight="1">
      <c r="A71" s="256">
        <f t="shared" si="1"/>
        <v>57</v>
      </c>
      <c r="B71" s="404" t="s">
        <v>553</v>
      </c>
      <c r="C71" s="398">
        <v>2482</v>
      </c>
      <c r="D71" s="399">
        <v>11182</v>
      </c>
    </row>
    <row r="72" spans="1:4" ht="13.5" customHeight="1">
      <c r="A72" s="256">
        <f t="shared" si="1"/>
        <v>58</v>
      </c>
      <c r="B72" s="404" t="s">
        <v>554</v>
      </c>
      <c r="C72" s="398">
        <v>5830</v>
      </c>
      <c r="D72" s="399">
        <v>40521</v>
      </c>
    </row>
    <row r="73" spans="1:4" ht="13.5" customHeight="1">
      <c r="A73" s="256">
        <f t="shared" si="1"/>
        <v>59</v>
      </c>
      <c r="B73" s="404" t="s">
        <v>555</v>
      </c>
      <c r="C73" s="398">
        <v>11160</v>
      </c>
      <c r="D73" s="399">
        <v>140262</v>
      </c>
    </row>
    <row r="74" spans="1:4" ht="13.5" customHeight="1">
      <c r="A74" s="256">
        <f t="shared" si="1"/>
        <v>60</v>
      </c>
      <c r="B74" s="404" t="s">
        <v>556</v>
      </c>
      <c r="C74" s="398">
        <v>4917</v>
      </c>
      <c r="D74" s="399">
        <v>30023</v>
      </c>
    </row>
    <row r="75" spans="1:4" ht="13.5" customHeight="1">
      <c r="A75" s="256">
        <f t="shared" si="1"/>
        <v>61</v>
      </c>
      <c r="B75" s="404" t="s">
        <v>557</v>
      </c>
      <c r="C75" s="398">
        <v>11441</v>
      </c>
      <c r="D75" s="399">
        <v>61157</v>
      </c>
    </row>
    <row r="76" spans="1:4" ht="13.5" customHeight="1">
      <c r="A76" s="256">
        <f t="shared" si="1"/>
        <v>62</v>
      </c>
      <c r="B76" s="404" t="s">
        <v>558</v>
      </c>
      <c r="C76" s="398">
        <v>515</v>
      </c>
      <c r="D76" s="399">
        <v>2988</v>
      </c>
    </row>
    <row r="77" spans="1:4" ht="13.5" customHeight="1">
      <c r="A77" s="256">
        <f t="shared" si="1"/>
        <v>63</v>
      </c>
      <c r="B77" s="404" t="s">
        <v>559</v>
      </c>
      <c r="C77" s="398">
        <v>4529</v>
      </c>
      <c r="D77" s="399">
        <v>38411</v>
      </c>
    </row>
    <row r="78" spans="1:4" ht="13.5" customHeight="1">
      <c r="A78" s="256">
        <f t="shared" si="1"/>
        <v>64</v>
      </c>
      <c r="B78" s="404" t="s">
        <v>560</v>
      </c>
      <c r="C78" s="398">
        <v>5469</v>
      </c>
      <c r="D78" s="399">
        <v>33701</v>
      </c>
    </row>
    <row r="79" spans="1:4" ht="13.5" customHeight="1">
      <c r="A79" s="256">
        <f t="shared" si="1"/>
        <v>65</v>
      </c>
      <c r="B79" s="404" t="s">
        <v>561</v>
      </c>
      <c r="C79" s="398">
        <v>3034</v>
      </c>
      <c r="D79" s="399">
        <v>22835</v>
      </c>
    </row>
    <row r="80" spans="1:4" ht="13.5" customHeight="1">
      <c r="A80" s="256">
        <f t="shared" si="1"/>
        <v>66</v>
      </c>
      <c r="B80" s="404" t="s">
        <v>562</v>
      </c>
      <c r="C80" s="398">
        <v>2818</v>
      </c>
      <c r="D80" s="399">
        <v>20219</v>
      </c>
    </row>
    <row r="81" spans="1:4" ht="13.5" customHeight="1">
      <c r="A81" s="256">
        <f t="shared" si="1"/>
        <v>67</v>
      </c>
      <c r="B81" s="404" t="s">
        <v>563</v>
      </c>
      <c r="C81" s="398">
        <v>7872</v>
      </c>
      <c r="D81" s="399">
        <v>62849</v>
      </c>
    </row>
    <row r="82" spans="1:4" ht="13.5" customHeight="1">
      <c r="A82" s="256">
        <f t="shared" si="1"/>
        <v>68</v>
      </c>
      <c r="B82" s="404" t="s">
        <v>564</v>
      </c>
      <c r="C82" s="398">
        <v>3144</v>
      </c>
      <c r="D82" s="399">
        <v>18607</v>
      </c>
    </row>
    <row r="83" spans="1:4" ht="13.5" customHeight="1">
      <c r="A83" s="256">
        <f t="shared" si="1"/>
        <v>69</v>
      </c>
      <c r="B83" s="404" t="s">
        <v>565</v>
      </c>
      <c r="C83" s="398">
        <v>714</v>
      </c>
      <c r="D83" s="399">
        <v>3450</v>
      </c>
    </row>
    <row r="84" spans="1:4" ht="13.5" customHeight="1">
      <c r="A84" s="256">
        <f t="shared" si="1"/>
        <v>70</v>
      </c>
      <c r="B84" s="404" t="s">
        <v>566</v>
      </c>
      <c r="C84" s="398">
        <v>2077</v>
      </c>
      <c r="D84" s="399">
        <v>18257</v>
      </c>
    </row>
    <row r="85" spans="1:4" ht="13.5" customHeight="1">
      <c r="A85" s="256">
        <f t="shared" si="1"/>
        <v>71</v>
      </c>
      <c r="B85" s="404" t="s">
        <v>567</v>
      </c>
      <c r="C85" s="398">
        <v>2662</v>
      </c>
      <c r="D85" s="399">
        <v>17754</v>
      </c>
    </row>
    <row r="86" spans="1:7" ht="13.5" customHeight="1">
      <c r="A86" s="256">
        <f t="shared" si="1"/>
        <v>72</v>
      </c>
      <c r="B86" s="404" t="s">
        <v>568</v>
      </c>
      <c r="C86" s="398">
        <v>1550</v>
      </c>
      <c r="D86" s="399">
        <v>14898</v>
      </c>
      <c r="G86" s="1" t="s">
        <v>53</v>
      </c>
    </row>
    <row r="87" spans="1:4" ht="13.5" customHeight="1">
      <c r="A87" s="256">
        <f t="shared" si="1"/>
        <v>73</v>
      </c>
      <c r="B87" s="404" t="s">
        <v>569</v>
      </c>
      <c r="C87" s="398">
        <v>742</v>
      </c>
      <c r="D87" s="399">
        <v>6673</v>
      </c>
    </row>
    <row r="88" spans="1:4" ht="13.5" customHeight="1">
      <c r="A88" s="256">
        <f t="shared" si="1"/>
        <v>74</v>
      </c>
      <c r="B88" s="404" t="s">
        <v>570</v>
      </c>
      <c r="C88" s="398">
        <v>1964</v>
      </c>
      <c r="D88" s="399">
        <v>13583</v>
      </c>
    </row>
    <row r="89" spans="1:4" ht="13.5" customHeight="1">
      <c r="A89" s="256">
        <f t="shared" si="1"/>
        <v>75</v>
      </c>
      <c r="B89" s="404" t="s">
        <v>571</v>
      </c>
      <c r="C89" s="398">
        <v>493</v>
      </c>
      <c r="D89" s="399">
        <v>2589</v>
      </c>
    </row>
    <row r="90" spans="1:4" ht="13.5" customHeight="1">
      <c r="A90" s="256">
        <f t="shared" si="1"/>
        <v>76</v>
      </c>
      <c r="B90" s="404" t="s">
        <v>572</v>
      </c>
      <c r="C90" s="398">
        <v>702</v>
      </c>
      <c r="D90" s="399">
        <v>4392</v>
      </c>
    </row>
    <row r="91" spans="1:4" ht="13.5" customHeight="1">
      <c r="A91" s="256">
        <f t="shared" si="1"/>
        <v>77</v>
      </c>
      <c r="B91" s="404" t="s">
        <v>573</v>
      </c>
      <c r="C91" s="398">
        <v>3126</v>
      </c>
      <c r="D91" s="399">
        <v>18225</v>
      </c>
    </row>
    <row r="92" spans="1:4" ht="13.5" customHeight="1">
      <c r="A92" s="256">
        <f t="shared" si="1"/>
        <v>78</v>
      </c>
      <c r="B92" s="404" t="s">
        <v>574</v>
      </c>
      <c r="C92" s="398">
        <v>3285</v>
      </c>
      <c r="D92" s="399">
        <v>20939</v>
      </c>
    </row>
    <row r="93" spans="1:4" ht="13.5" customHeight="1">
      <c r="A93" s="256">
        <f t="shared" si="1"/>
        <v>79</v>
      </c>
      <c r="B93" s="404" t="s">
        <v>575</v>
      </c>
      <c r="C93" s="398">
        <v>536</v>
      </c>
      <c r="D93" s="399">
        <v>2950</v>
      </c>
    </row>
    <row r="94" spans="1:4" ht="13.5" customHeight="1">
      <c r="A94" s="256">
        <f t="shared" si="1"/>
        <v>80</v>
      </c>
      <c r="B94" s="405" t="s">
        <v>576</v>
      </c>
      <c r="C94" s="398">
        <v>2896</v>
      </c>
      <c r="D94" s="399">
        <v>17434</v>
      </c>
    </row>
    <row r="95" spans="1:4" ht="13.5" customHeight="1">
      <c r="A95" s="256">
        <f>+A94+1</f>
        <v>81</v>
      </c>
      <c r="B95" s="405" t="s">
        <v>577</v>
      </c>
      <c r="C95" s="398">
        <v>4025</v>
      </c>
      <c r="D95" s="399">
        <v>36344</v>
      </c>
    </row>
    <row r="96" spans="1:5" ht="29.25" customHeight="1" thickBot="1">
      <c r="A96" s="400" t="s">
        <v>53</v>
      </c>
      <c r="B96" s="407" t="s">
        <v>646</v>
      </c>
      <c r="C96" s="406">
        <f>SUM(C57:C95)+SUM(C8:C49)</f>
        <v>995777</v>
      </c>
      <c r="D96" s="453">
        <f>SUM(D57:D95)+SUM(D8:D49)</f>
        <v>7428532</v>
      </c>
      <c r="E96" s="97"/>
    </row>
    <row r="97" spans="1:5" ht="41.25" customHeight="1" thickTop="1">
      <c r="A97" s="421" t="s">
        <v>53</v>
      </c>
      <c r="B97" s="747" t="s">
        <v>702</v>
      </c>
      <c r="C97" s="748"/>
      <c r="D97" s="748"/>
      <c r="E97" s="749"/>
    </row>
    <row r="98" spans="1:4" ht="21.75" customHeight="1">
      <c r="A98" s="746"/>
      <c r="B98" s="746"/>
      <c r="C98" s="746"/>
      <c r="D98" s="746"/>
    </row>
    <row r="99" ht="12.75">
      <c r="C99" s="394"/>
    </row>
    <row r="100" ht="12.75">
      <c r="C100" s="473"/>
    </row>
    <row r="101" ht="12.75">
      <c r="C101" s="395"/>
    </row>
  </sheetData>
  <mergeCells count="15">
    <mergeCell ref="A98:D98"/>
    <mergeCell ref="A55:A56"/>
    <mergeCell ref="B55:B56"/>
    <mergeCell ref="C55:C56"/>
    <mergeCell ref="D55:D56"/>
    <mergeCell ref="B97:E97"/>
    <mergeCell ref="A5:D5"/>
    <mergeCell ref="A6:A7"/>
    <mergeCell ref="B6:B7"/>
    <mergeCell ref="C6:C7"/>
    <mergeCell ref="D6:D7"/>
    <mergeCell ref="A1:D1"/>
    <mergeCell ref="A2:D2"/>
    <mergeCell ref="A3:D3"/>
    <mergeCell ref="A4:D4"/>
  </mergeCells>
  <printOptions/>
  <pageMargins left="0.75" right="0.75" top="1" bottom="1" header="0.5" footer="0.5"/>
  <pageSetup orientation="portrait" paperSize="9" r:id="rId1"/>
  <ignoredErrors>
    <ignoredError sqref="A8:A16" numberStoredAsText="1"/>
  </ignoredErrors>
</worksheet>
</file>

<file path=xl/worksheets/sheet26.xml><?xml version="1.0" encoding="utf-8"?>
<worksheet xmlns="http://schemas.openxmlformats.org/spreadsheetml/2006/main" xmlns:r="http://schemas.openxmlformats.org/officeDocument/2006/relationships">
  <sheetPr>
    <tabColor indexed="12"/>
  </sheetPr>
  <dimension ref="A1:J1511"/>
  <sheetViews>
    <sheetView showGridLines="0" workbookViewId="0" topLeftCell="A379">
      <selection activeCell="B393" sqref="B393:E393"/>
    </sheetView>
  </sheetViews>
  <sheetFormatPr defaultColWidth="9.00390625" defaultRowHeight="12.75"/>
  <cols>
    <col min="1" max="1" width="3.125" style="1" customWidth="1"/>
    <col min="2" max="2" width="32.625" style="1" customWidth="1"/>
    <col min="3" max="3" width="15.00390625" style="1" customWidth="1"/>
    <col min="4" max="4" width="19.25390625" style="1" customWidth="1"/>
    <col min="5" max="5" width="17.625" style="1" customWidth="1"/>
    <col min="6" max="6" width="9.125" style="10" customWidth="1"/>
    <col min="7" max="7" width="11.75390625" style="10" customWidth="1"/>
    <col min="8" max="8" width="15.125" style="10" customWidth="1"/>
    <col min="9" max="9" width="16.625" style="475" bestFit="1" customWidth="1"/>
    <col min="10" max="12" width="9.125" style="10" customWidth="1"/>
    <col min="13" max="16384" width="9.125" style="1" customWidth="1"/>
  </cols>
  <sheetData>
    <row r="1" spans="1:10" ht="48.75" customHeight="1">
      <c r="A1" s="750" t="s">
        <v>698</v>
      </c>
      <c r="B1" s="750"/>
      <c r="C1" s="750"/>
      <c r="D1" s="750"/>
      <c r="E1" s="750"/>
      <c r="F1" s="408"/>
      <c r="G1" s="408"/>
      <c r="H1" s="409"/>
      <c r="J1" s="409"/>
    </row>
    <row r="2" spans="1:10" ht="12.75" customHeight="1">
      <c r="A2" s="751" t="s">
        <v>654</v>
      </c>
      <c r="B2" s="751"/>
      <c r="C2" s="751"/>
      <c r="D2" s="751"/>
      <c r="E2" s="751"/>
      <c r="F2" s="408"/>
      <c r="G2" s="408"/>
      <c r="H2" s="409"/>
      <c r="J2" s="409"/>
    </row>
    <row r="3" spans="1:10" ht="12.75" customHeight="1">
      <c r="A3" s="751" t="s">
        <v>699</v>
      </c>
      <c r="B3" s="751"/>
      <c r="C3" s="751"/>
      <c r="D3" s="751"/>
      <c r="E3" s="751"/>
      <c r="F3" s="408"/>
      <c r="G3" s="408"/>
      <c r="H3" s="409"/>
      <c r="J3" s="409"/>
    </row>
    <row r="4" spans="1:10" ht="21" customHeight="1" thickBot="1">
      <c r="A4" s="754" t="s">
        <v>655</v>
      </c>
      <c r="B4" s="754"/>
      <c r="C4" s="754"/>
      <c r="D4" s="754"/>
      <c r="E4" s="755"/>
      <c r="F4" s="408"/>
      <c r="G4" s="408"/>
      <c r="H4" s="409"/>
      <c r="J4" s="409"/>
    </row>
    <row r="5" spans="1:10" ht="12.75" customHeight="1" thickTop="1">
      <c r="A5" s="752" t="s">
        <v>578</v>
      </c>
      <c r="B5" s="447" t="s">
        <v>53</v>
      </c>
      <c r="C5" s="443"/>
      <c r="D5" s="443" t="s">
        <v>579</v>
      </c>
      <c r="E5" s="440" t="s">
        <v>580</v>
      </c>
      <c r="F5" s="408"/>
      <c r="G5" s="408"/>
      <c r="H5" s="409"/>
      <c r="J5" s="409"/>
    </row>
    <row r="6" spans="1:10" ht="12.75">
      <c r="A6" s="753"/>
      <c r="B6" s="448" t="s">
        <v>581</v>
      </c>
      <c r="C6" s="444" t="s">
        <v>582</v>
      </c>
      <c r="D6" s="444" t="s">
        <v>583</v>
      </c>
      <c r="E6" s="441" t="s">
        <v>584</v>
      </c>
      <c r="F6" s="408"/>
      <c r="G6" s="408"/>
      <c r="H6" s="409"/>
      <c r="J6" s="409"/>
    </row>
    <row r="7" spans="1:10" ht="12.75">
      <c r="A7" s="753"/>
      <c r="B7" s="449" t="s">
        <v>585</v>
      </c>
      <c r="C7" s="445" t="s">
        <v>586</v>
      </c>
      <c r="D7" s="445" t="s">
        <v>587</v>
      </c>
      <c r="E7" s="441" t="s">
        <v>588</v>
      </c>
      <c r="F7" s="408"/>
      <c r="G7" s="408"/>
      <c r="H7" s="409"/>
      <c r="J7" s="409"/>
    </row>
    <row r="8" spans="1:10" ht="11.25" customHeight="1">
      <c r="A8" s="753"/>
      <c r="B8" s="450"/>
      <c r="C8" s="446" t="s">
        <v>589</v>
      </c>
      <c r="D8" s="446" t="s">
        <v>590</v>
      </c>
      <c r="E8" s="442" t="s">
        <v>591</v>
      </c>
      <c r="F8" s="408"/>
      <c r="G8" s="408"/>
      <c r="H8" s="409"/>
      <c r="J8" s="409"/>
    </row>
    <row r="9" spans="1:10" ht="10.5" customHeight="1">
      <c r="A9" s="756" t="s">
        <v>489</v>
      </c>
      <c r="B9" s="428" t="s">
        <v>592</v>
      </c>
      <c r="C9" s="429" t="s">
        <v>53</v>
      </c>
      <c r="D9" s="429" t="s">
        <v>593</v>
      </c>
      <c r="E9" s="430"/>
      <c r="F9"/>
      <c r="G9"/>
      <c r="H9"/>
      <c r="I9" s="474"/>
      <c r="J9" s="409"/>
    </row>
    <row r="10" spans="1:10" ht="12.75">
      <c r="A10" s="756"/>
      <c r="B10" s="431" t="s">
        <v>647</v>
      </c>
      <c r="C10" s="432">
        <v>6315</v>
      </c>
      <c r="D10" s="432">
        <v>43785</v>
      </c>
      <c r="E10" s="433">
        <v>29278776</v>
      </c>
      <c r="F10"/>
      <c r="G10"/>
      <c r="H10"/>
      <c r="I10" s="474"/>
      <c r="J10" s="409"/>
    </row>
    <row r="11" spans="1:10" ht="12.75">
      <c r="A11" s="756"/>
      <c r="B11" s="431" t="s">
        <v>648</v>
      </c>
      <c r="C11" s="432">
        <v>506</v>
      </c>
      <c r="D11" s="432">
        <v>6156</v>
      </c>
      <c r="E11" s="433">
        <v>23436407</v>
      </c>
      <c r="F11"/>
      <c r="G11"/>
      <c r="H11"/>
      <c r="I11" s="474"/>
      <c r="J11" s="409"/>
    </row>
    <row r="12" spans="1:10" ht="12.75">
      <c r="A12" s="756"/>
      <c r="B12" s="434" t="s">
        <v>649</v>
      </c>
      <c r="C12" s="432">
        <v>798</v>
      </c>
      <c r="D12" s="432">
        <v>12429</v>
      </c>
      <c r="E12" s="433">
        <v>45601303</v>
      </c>
      <c r="F12"/>
      <c r="G12"/>
      <c r="H12"/>
      <c r="I12" s="474"/>
      <c r="J12" s="409"/>
    </row>
    <row r="13" spans="1:10" ht="12.75">
      <c r="A13" s="756"/>
      <c r="B13" s="434" t="s">
        <v>650</v>
      </c>
      <c r="C13" s="432">
        <v>6023</v>
      </c>
      <c r="D13" s="432">
        <v>37512</v>
      </c>
      <c r="E13" s="433">
        <v>22664885</v>
      </c>
      <c r="F13"/>
      <c r="G13"/>
      <c r="H13"/>
      <c r="I13" s="474"/>
      <c r="J13" s="409"/>
    </row>
    <row r="14" spans="1:10" ht="12.75">
      <c r="A14" s="756"/>
      <c r="B14" s="427" t="s">
        <v>651</v>
      </c>
      <c r="C14" s="432">
        <v>0</v>
      </c>
      <c r="D14" s="432">
        <v>42017</v>
      </c>
      <c r="E14" s="433">
        <v>28762657</v>
      </c>
      <c r="F14"/>
      <c r="G14"/>
      <c r="H14"/>
      <c r="I14" s="474"/>
      <c r="J14" s="409"/>
    </row>
    <row r="15" spans="1:10" ht="12.75">
      <c r="A15" s="756"/>
      <c r="B15" s="427" t="s">
        <v>652</v>
      </c>
      <c r="C15" s="432">
        <v>0</v>
      </c>
      <c r="D15" s="432">
        <v>7924</v>
      </c>
      <c r="E15" s="433">
        <v>27691738</v>
      </c>
      <c r="F15"/>
      <c r="G15"/>
      <c r="H15"/>
      <c r="I15" s="474"/>
      <c r="J15" s="409"/>
    </row>
    <row r="16" spans="1:10" ht="12.75">
      <c r="A16" s="756"/>
      <c r="B16" s="434" t="s">
        <v>653</v>
      </c>
      <c r="C16" s="435">
        <v>6821</v>
      </c>
      <c r="D16" s="435">
        <v>49941</v>
      </c>
      <c r="E16" s="436">
        <v>28605748</v>
      </c>
      <c r="F16"/>
      <c r="G16"/>
      <c r="H16"/>
      <c r="I16" s="474"/>
      <c r="J16" s="409"/>
    </row>
    <row r="17" spans="1:10" ht="12.75">
      <c r="A17" s="756" t="s">
        <v>491</v>
      </c>
      <c r="B17" s="428" t="s">
        <v>594</v>
      </c>
      <c r="C17" s="429" t="s">
        <v>53</v>
      </c>
      <c r="D17" s="429" t="s">
        <v>593</v>
      </c>
      <c r="E17" s="430"/>
      <c r="F17"/>
      <c r="G17"/>
      <c r="H17"/>
      <c r="I17" s="474"/>
      <c r="J17" s="409"/>
    </row>
    <row r="18" spans="1:10" ht="12.75">
      <c r="A18" s="756"/>
      <c r="B18" s="431" t="s">
        <v>647</v>
      </c>
      <c r="C18" s="432">
        <v>478</v>
      </c>
      <c r="D18" s="432">
        <v>12925</v>
      </c>
      <c r="E18" s="433">
        <v>56376024</v>
      </c>
      <c r="F18"/>
      <c r="G18"/>
      <c r="H18"/>
      <c r="I18" s="474"/>
      <c r="J18" s="409"/>
    </row>
    <row r="19" spans="1:10" ht="12.75">
      <c r="A19" s="756"/>
      <c r="B19" s="431" t="s">
        <v>648</v>
      </c>
      <c r="C19" s="432">
        <v>533</v>
      </c>
      <c r="D19" s="432">
        <v>8771</v>
      </c>
      <c r="E19" s="433">
        <v>46259383</v>
      </c>
      <c r="F19"/>
      <c r="G19"/>
      <c r="H19"/>
      <c r="I19" s="474"/>
      <c r="J19" s="409"/>
    </row>
    <row r="20" spans="1:10" ht="12.75">
      <c r="A20" s="756"/>
      <c r="B20" s="434" t="s">
        <v>649</v>
      </c>
      <c r="C20" s="432">
        <v>337</v>
      </c>
      <c r="D20" s="432">
        <v>17512</v>
      </c>
      <c r="E20" s="433">
        <v>59219094</v>
      </c>
      <c r="F20"/>
      <c r="G20"/>
      <c r="H20"/>
      <c r="I20" s="474"/>
      <c r="J20" s="409"/>
    </row>
    <row r="21" spans="1:10" ht="12.75">
      <c r="A21" s="756"/>
      <c r="B21" s="434" t="s">
        <v>650</v>
      </c>
      <c r="C21" s="432">
        <v>674</v>
      </c>
      <c r="D21" s="432">
        <v>4184</v>
      </c>
      <c r="E21" s="433">
        <v>21405923</v>
      </c>
      <c r="F21"/>
      <c r="G21"/>
      <c r="H21"/>
      <c r="I21" s="474"/>
      <c r="J21" s="409"/>
    </row>
    <row r="22" spans="1:10" ht="12.75">
      <c r="A22" s="756"/>
      <c r="B22" s="427" t="s">
        <v>651</v>
      </c>
      <c r="C22" s="432">
        <v>0</v>
      </c>
      <c r="D22" s="432">
        <v>19561</v>
      </c>
      <c r="E22" s="433">
        <v>52561861</v>
      </c>
      <c r="F22"/>
      <c r="G22"/>
      <c r="H22"/>
      <c r="I22" s="474"/>
      <c r="J22" s="409"/>
    </row>
    <row r="23" spans="1:10" ht="12.75">
      <c r="A23" s="756"/>
      <c r="B23" s="427" t="s">
        <v>652</v>
      </c>
      <c r="C23" s="432">
        <v>0</v>
      </c>
      <c r="D23" s="432">
        <v>2135</v>
      </c>
      <c r="E23" s="433">
        <v>52165317</v>
      </c>
      <c r="F23"/>
      <c r="G23"/>
      <c r="H23"/>
      <c r="I23" s="474"/>
      <c r="J23" s="409"/>
    </row>
    <row r="24" spans="1:10" ht="12.75">
      <c r="A24" s="756"/>
      <c r="B24" s="434" t="s">
        <v>653</v>
      </c>
      <c r="C24" s="435">
        <v>1011</v>
      </c>
      <c r="D24" s="435">
        <v>21696</v>
      </c>
      <c r="E24" s="436">
        <v>52521574</v>
      </c>
      <c r="F24"/>
      <c r="G24"/>
      <c r="H24"/>
      <c r="I24" s="474"/>
      <c r="J24" s="409"/>
    </row>
    <row r="25" spans="1:10" ht="12.75">
      <c r="A25" s="756" t="s">
        <v>495</v>
      </c>
      <c r="B25" s="428" t="s">
        <v>595</v>
      </c>
      <c r="C25" s="429" t="s">
        <v>53</v>
      </c>
      <c r="D25" s="429" t="s">
        <v>593</v>
      </c>
      <c r="E25" s="430"/>
      <c r="F25"/>
      <c r="G25"/>
      <c r="H25"/>
      <c r="I25" s="474"/>
      <c r="J25" s="409"/>
    </row>
    <row r="26" spans="1:10" ht="12.75">
      <c r="A26" s="756"/>
      <c r="B26" s="431" t="s">
        <v>647</v>
      </c>
      <c r="C26" s="432">
        <v>473</v>
      </c>
      <c r="D26" s="432">
        <v>3589</v>
      </c>
      <c r="E26" s="433">
        <v>23681093</v>
      </c>
      <c r="F26"/>
      <c r="G26"/>
      <c r="H26"/>
      <c r="I26" s="474"/>
      <c r="J26" s="409"/>
    </row>
    <row r="27" spans="1:10" ht="12.75">
      <c r="A27" s="756"/>
      <c r="B27" s="431" t="s">
        <v>648</v>
      </c>
      <c r="C27" s="432">
        <v>24</v>
      </c>
      <c r="D27" s="432">
        <v>88</v>
      </c>
      <c r="E27" s="433">
        <v>19506071</v>
      </c>
      <c r="F27"/>
      <c r="G27"/>
      <c r="H27"/>
      <c r="I27" s="474"/>
      <c r="J27" s="409"/>
    </row>
    <row r="28" spans="1:10" ht="12.75">
      <c r="A28" s="756"/>
      <c r="B28" s="434" t="s">
        <v>649</v>
      </c>
      <c r="C28" s="432">
        <v>6</v>
      </c>
      <c r="D28" s="432">
        <v>186</v>
      </c>
      <c r="E28" s="433">
        <v>51427496</v>
      </c>
      <c r="F28"/>
      <c r="G28"/>
      <c r="H28"/>
      <c r="I28" s="474"/>
      <c r="J28" s="409"/>
    </row>
    <row r="29" spans="1:10" ht="12.75">
      <c r="A29" s="756"/>
      <c r="B29" s="434" t="s">
        <v>650</v>
      </c>
      <c r="C29" s="432">
        <v>491</v>
      </c>
      <c r="D29" s="432">
        <v>3491</v>
      </c>
      <c r="E29" s="433">
        <v>21982824</v>
      </c>
      <c r="F29"/>
      <c r="G29"/>
      <c r="H29"/>
      <c r="I29" s="474"/>
      <c r="J29" s="409"/>
    </row>
    <row r="30" spans="1:10" ht="12.75">
      <c r="A30" s="756"/>
      <c r="B30" s="427" t="s">
        <v>651</v>
      </c>
      <c r="C30" s="432">
        <v>0</v>
      </c>
      <c r="D30" s="432">
        <v>3305</v>
      </c>
      <c r="E30" s="433">
        <v>23700458</v>
      </c>
      <c r="F30"/>
      <c r="G30"/>
      <c r="H30"/>
      <c r="I30" s="474"/>
      <c r="J30" s="409"/>
    </row>
    <row r="31" spans="1:10" ht="12.75">
      <c r="A31" s="756"/>
      <c r="B31" s="427" t="s">
        <v>652</v>
      </c>
      <c r="C31" s="432">
        <v>0</v>
      </c>
      <c r="D31" s="432">
        <v>372</v>
      </c>
      <c r="E31" s="433">
        <v>22542535</v>
      </c>
      <c r="F31"/>
      <c r="G31"/>
      <c r="H31"/>
      <c r="I31" s="474"/>
      <c r="J31" s="409"/>
    </row>
    <row r="32" spans="1:10" ht="12.75">
      <c r="A32" s="756"/>
      <c r="B32" s="434" t="s">
        <v>653</v>
      </c>
      <c r="C32" s="435">
        <v>497</v>
      </c>
      <c r="D32" s="435">
        <v>3677</v>
      </c>
      <c r="E32" s="436">
        <v>23587072</v>
      </c>
      <c r="F32"/>
      <c r="G32"/>
      <c r="H32"/>
      <c r="I32" s="474"/>
      <c r="J32" s="409"/>
    </row>
    <row r="33" spans="1:10" ht="12.75">
      <c r="A33" s="756">
        <v>11</v>
      </c>
      <c r="B33" s="428" t="s">
        <v>596</v>
      </c>
      <c r="C33" s="429" t="s">
        <v>53</v>
      </c>
      <c r="D33" s="429" t="s">
        <v>593</v>
      </c>
      <c r="E33" s="430"/>
      <c r="F33"/>
      <c r="G33"/>
      <c r="H33"/>
      <c r="I33" s="474"/>
      <c r="J33" s="409"/>
    </row>
    <row r="34" spans="1:10" ht="12.75">
      <c r="A34" s="756"/>
      <c r="B34" s="431" t="s">
        <v>647</v>
      </c>
      <c r="C34" s="432">
        <v>378</v>
      </c>
      <c r="D34" s="432">
        <v>35453</v>
      </c>
      <c r="E34" s="433">
        <v>40367541</v>
      </c>
      <c r="F34"/>
      <c r="G34"/>
      <c r="H34"/>
      <c r="I34" s="474"/>
      <c r="J34" s="409"/>
    </row>
    <row r="35" spans="1:10" ht="12.75">
      <c r="A35" s="756"/>
      <c r="B35" s="431" t="s">
        <v>648</v>
      </c>
      <c r="C35" s="432">
        <v>77</v>
      </c>
      <c r="D35" s="432">
        <v>5237</v>
      </c>
      <c r="E35" s="433">
        <v>43190474</v>
      </c>
      <c r="F35"/>
      <c r="G35"/>
      <c r="H35"/>
      <c r="I35" s="474"/>
      <c r="J35" s="409"/>
    </row>
    <row r="36" spans="1:10" ht="12.75">
      <c r="A36" s="756"/>
      <c r="B36" s="434" t="s">
        <v>649</v>
      </c>
      <c r="C36" s="432">
        <v>22</v>
      </c>
      <c r="D36" s="432">
        <v>16031</v>
      </c>
      <c r="E36" s="433">
        <v>63429059</v>
      </c>
      <c r="F36"/>
      <c r="G36"/>
      <c r="H36"/>
      <c r="I36" s="474"/>
      <c r="J36" s="409"/>
    </row>
    <row r="37" spans="1:10" ht="12.75">
      <c r="A37" s="756"/>
      <c r="B37" s="434" t="s">
        <v>650</v>
      </c>
      <c r="C37" s="432">
        <v>433</v>
      </c>
      <c r="D37" s="432">
        <v>24659</v>
      </c>
      <c r="E37" s="433">
        <v>23706967</v>
      </c>
      <c r="F37"/>
      <c r="G37"/>
      <c r="H37"/>
      <c r="I37" s="474"/>
      <c r="J37" s="409"/>
    </row>
    <row r="38" spans="1:10" ht="12.75">
      <c r="A38" s="756"/>
      <c r="B38" s="427" t="s">
        <v>651</v>
      </c>
      <c r="C38" s="432">
        <v>0</v>
      </c>
      <c r="D38" s="432">
        <v>40418</v>
      </c>
      <c r="E38" s="433">
        <v>40838536</v>
      </c>
      <c r="F38"/>
      <c r="G38"/>
      <c r="H38"/>
      <c r="I38" s="474"/>
      <c r="J38" s="409"/>
    </row>
    <row r="39" spans="1:10" ht="12.75">
      <c r="A39" s="756"/>
      <c r="B39" s="427" t="s">
        <v>652</v>
      </c>
      <c r="C39" s="432">
        <v>0</v>
      </c>
      <c r="D39" s="432">
        <v>272</v>
      </c>
      <c r="E39" s="433">
        <v>25076100</v>
      </c>
      <c r="F39"/>
      <c r="G39"/>
      <c r="H39"/>
      <c r="I39" s="474"/>
      <c r="J39" s="409"/>
    </row>
    <row r="40" spans="1:10" ht="12.75">
      <c r="A40" s="756"/>
      <c r="B40" s="434" t="s">
        <v>653</v>
      </c>
      <c r="C40" s="435">
        <v>455</v>
      </c>
      <c r="D40" s="435">
        <v>40690</v>
      </c>
      <c r="E40" s="436">
        <v>40733495</v>
      </c>
      <c r="F40"/>
      <c r="G40"/>
      <c r="H40"/>
      <c r="I40" s="474"/>
      <c r="J40" s="409"/>
    </row>
    <row r="41" spans="1:10" ht="12.75">
      <c r="A41" s="756">
        <v>12</v>
      </c>
      <c r="B41" s="428" t="s">
        <v>597</v>
      </c>
      <c r="C41" s="429" t="s">
        <v>53</v>
      </c>
      <c r="D41" s="429" t="s">
        <v>593</v>
      </c>
      <c r="E41" s="430"/>
      <c r="F41"/>
      <c r="G41"/>
      <c r="H41"/>
      <c r="I41" s="474"/>
      <c r="J41" s="409"/>
    </row>
    <row r="42" spans="1:10" ht="12.75">
      <c r="A42" s="756"/>
      <c r="B42" s="431" t="s">
        <v>647</v>
      </c>
      <c r="C42" s="432">
        <v>340</v>
      </c>
      <c r="D42" s="432">
        <v>7868</v>
      </c>
      <c r="E42" s="433">
        <v>31750741</v>
      </c>
      <c r="F42"/>
      <c r="G42"/>
      <c r="H42"/>
      <c r="I42" s="474"/>
      <c r="J42" s="409"/>
    </row>
    <row r="43" spans="1:10" ht="12.75">
      <c r="A43" s="756"/>
      <c r="B43" s="431" t="s">
        <v>648</v>
      </c>
      <c r="C43" s="432">
        <v>120</v>
      </c>
      <c r="D43" s="432">
        <v>2591</v>
      </c>
      <c r="E43" s="433">
        <v>22726897</v>
      </c>
      <c r="F43"/>
      <c r="G43"/>
      <c r="H43"/>
      <c r="I43" s="474"/>
      <c r="J43" s="409"/>
    </row>
    <row r="44" spans="1:10" ht="12.75">
      <c r="A44" s="756"/>
      <c r="B44" s="434" t="s">
        <v>649</v>
      </c>
      <c r="C44" s="432">
        <v>12</v>
      </c>
      <c r="D44" s="432">
        <v>674</v>
      </c>
      <c r="E44" s="433">
        <v>58586660</v>
      </c>
      <c r="F44"/>
      <c r="G44"/>
      <c r="H44"/>
      <c r="I44" s="474"/>
      <c r="J44" s="409"/>
    </row>
    <row r="45" spans="1:10" ht="12.75">
      <c r="A45" s="756"/>
      <c r="B45" s="434" t="s">
        <v>650</v>
      </c>
      <c r="C45" s="432">
        <v>448</v>
      </c>
      <c r="D45" s="432">
        <v>9785</v>
      </c>
      <c r="E45" s="433">
        <v>27303197</v>
      </c>
      <c r="F45"/>
      <c r="G45"/>
      <c r="H45"/>
      <c r="I45" s="474"/>
      <c r="J45" s="409"/>
    </row>
    <row r="46" spans="1:10" ht="12.75">
      <c r="A46" s="756"/>
      <c r="B46" s="427" t="s">
        <v>651</v>
      </c>
      <c r="C46" s="432">
        <v>0</v>
      </c>
      <c r="D46" s="432">
        <v>10231</v>
      </c>
      <c r="E46" s="433">
        <v>29606911</v>
      </c>
      <c r="F46"/>
      <c r="G46"/>
      <c r="H46"/>
      <c r="I46" s="474"/>
      <c r="J46" s="409"/>
    </row>
    <row r="47" spans="1:10" ht="12.75">
      <c r="A47" s="756"/>
      <c r="B47" s="427" t="s">
        <v>652</v>
      </c>
      <c r="C47" s="432">
        <v>0</v>
      </c>
      <c r="D47" s="432">
        <v>228</v>
      </c>
      <c r="E47" s="433">
        <v>25481511</v>
      </c>
      <c r="F47"/>
      <c r="G47"/>
      <c r="H47"/>
      <c r="I47" s="474"/>
      <c r="J47" s="409"/>
    </row>
    <row r="48" spans="1:10" ht="12.75">
      <c r="A48" s="756"/>
      <c r="B48" s="434" t="s">
        <v>653</v>
      </c>
      <c r="C48" s="435">
        <v>460</v>
      </c>
      <c r="D48" s="435">
        <v>10459</v>
      </c>
      <c r="E48" s="436">
        <v>29515810</v>
      </c>
      <c r="F48"/>
      <c r="G48"/>
      <c r="H48"/>
      <c r="I48" s="474"/>
      <c r="J48" s="409"/>
    </row>
    <row r="49" spans="1:10" ht="12.75">
      <c r="A49" s="756">
        <v>13</v>
      </c>
      <c r="B49" s="428" t="s">
        <v>598</v>
      </c>
      <c r="C49" s="429" t="s">
        <v>53</v>
      </c>
      <c r="D49" s="429" t="s">
        <v>593</v>
      </c>
      <c r="E49" s="430"/>
      <c r="F49"/>
      <c r="G49"/>
      <c r="H49"/>
      <c r="I49" s="474"/>
      <c r="J49" s="409"/>
    </row>
    <row r="50" spans="1:10" ht="12.75">
      <c r="A50" s="756"/>
      <c r="B50" s="431" t="s">
        <v>647</v>
      </c>
      <c r="C50" s="432">
        <v>45</v>
      </c>
      <c r="D50" s="432">
        <v>2303</v>
      </c>
      <c r="E50" s="433">
        <v>78314143</v>
      </c>
      <c r="F50"/>
      <c r="G50"/>
      <c r="H50"/>
      <c r="I50" s="474"/>
      <c r="J50" s="409"/>
    </row>
    <row r="51" spans="1:10" ht="12.75">
      <c r="A51" s="756"/>
      <c r="B51" s="431" t="s">
        <v>648</v>
      </c>
      <c r="C51" s="432">
        <v>9</v>
      </c>
      <c r="D51" s="432">
        <v>434</v>
      </c>
      <c r="E51" s="433">
        <v>62386835</v>
      </c>
      <c r="F51"/>
      <c r="G51"/>
      <c r="H51"/>
      <c r="I51" s="474"/>
      <c r="J51" s="409"/>
    </row>
    <row r="52" spans="1:10" ht="9" customHeight="1">
      <c r="A52" s="756"/>
      <c r="B52" s="434" t="s">
        <v>649</v>
      </c>
      <c r="C52" s="432">
        <v>14</v>
      </c>
      <c r="D52" s="432">
        <v>2024</v>
      </c>
      <c r="E52" s="433">
        <v>85364467</v>
      </c>
      <c r="F52"/>
      <c r="G52"/>
      <c r="H52"/>
      <c r="I52" s="474"/>
      <c r="J52" s="409"/>
    </row>
    <row r="53" spans="1:10" ht="12.75">
      <c r="A53" s="756"/>
      <c r="B53" s="434" t="s">
        <v>650</v>
      </c>
      <c r="C53" s="432">
        <v>40</v>
      </c>
      <c r="D53" s="432">
        <v>713</v>
      </c>
      <c r="E53" s="433">
        <v>47187612</v>
      </c>
      <c r="F53"/>
      <c r="G53"/>
      <c r="H53"/>
      <c r="I53" s="474"/>
      <c r="J53" s="409"/>
    </row>
    <row r="54" spans="1:10" ht="12.75">
      <c r="A54" s="756"/>
      <c r="B54" s="427" t="s">
        <v>651</v>
      </c>
      <c r="C54" s="432">
        <v>0</v>
      </c>
      <c r="D54" s="432">
        <v>2682</v>
      </c>
      <c r="E54" s="433">
        <v>76320100</v>
      </c>
      <c r="F54"/>
      <c r="G54"/>
      <c r="H54"/>
      <c r="I54" s="474"/>
      <c r="J54" s="409"/>
    </row>
    <row r="55" spans="1:10" ht="12.75">
      <c r="A55" s="756"/>
      <c r="B55" s="427" t="s">
        <v>652</v>
      </c>
      <c r="C55" s="432">
        <v>0</v>
      </c>
      <c r="D55" s="432">
        <v>55</v>
      </c>
      <c r="E55" s="433">
        <v>48676259</v>
      </c>
      <c r="F55"/>
      <c r="G55"/>
      <c r="H55"/>
      <c r="I55" s="474"/>
      <c r="J55" s="409"/>
    </row>
    <row r="56" spans="1:10" ht="11.25" customHeight="1" thickBot="1">
      <c r="A56" s="757"/>
      <c r="B56" s="437" t="s">
        <v>653</v>
      </c>
      <c r="C56" s="438">
        <v>54</v>
      </c>
      <c r="D56" s="438">
        <v>2737</v>
      </c>
      <c r="E56" s="439">
        <v>75794247</v>
      </c>
      <c r="F56"/>
      <c r="G56"/>
      <c r="H56"/>
      <c r="I56" s="474"/>
      <c r="J56" s="409"/>
    </row>
    <row r="57" spans="1:10" ht="13.5" thickTop="1">
      <c r="A57" s="411"/>
      <c r="B57" s="412"/>
      <c r="C57" s="413"/>
      <c r="D57" s="413"/>
      <c r="E57" s="414" t="s">
        <v>53</v>
      </c>
      <c r="J57" s="409"/>
    </row>
    <row r="58" spans="1:10" ht="13.5" thickBot="1">
      <c r="A58" s="411"/>
      <c r="B58" s="412"/>
      <c r="C58" s="413"/>
      <c r="D58" s="413"/>
      <c r="E58" s="414"/>
      <c r="J58" s="409"/>
    </row>
    <row r="59" spans="1:10" ht="12.75" customHeight="1" thickTop="1">
      <c r="A59" s="752" t="s">
        <v>578</v>
      </c>
      <c r="B59" s="447" t="s">
        <v>53</v>
      </c>
      <c r="C59" s="443"/>
      <c r="D59" s="443" t="s">
        <v>579</v>
      </c>
      <c r="E59" s="440" t="s">
        <v>580</v>
      </c>
      <c r="J59" s="409"/>
    </row>
    <row r="60" spans="1:10" ht="12.75">
      <c r="A60" s="753"/>
      <c r="B60" s="448" t="s">
        <v>581</v>
      </c>
      <c r="C60" s="444" t="s">
        <v>582</v>
      </c>
      <c r="D60" s="444" t="s">
        <v>583</v>
      </c>
      <c r="E60" s="441" t="s">
        <v>584</v>
      </c>
      <c r="J60" s="409"/>
    </row>
    <row r="61" spans="1:10" ht="12.75">
      <c r="A61" s="753"/>
      <c r="B61" s="449" t="s">
        <v>585</v>
      </c>
      <c r="C61" s="445" t="s">
        <v>586</v>
      </c>
      <c r="D61" s="445" t="s">
        <v>587</v>
      </c>
      <c r="E61" s="441" t="s">
        <v>588</v>
      </c>
      <c r="J61" s="409"/>
    </row>
    <row r="62" spans="1:10" ht="11.25" customHeight="1">
      <c r="A62" s="753"/>
      <c r="B62" s="450"/>
      <c r="C62" s="446" t="s">
        <v>589</v>
      </c>
      <c r="D62" s="446" t="s">
        <v>590</v>
      </c>
      <c r="E62" s="442" t="s">
        <v>591</v>
      </c>
      <c r="J62" s="409"/>
    </row>
    <row r="63" spans="1:10" ht="12" customHeight="1">
      <c r="A63" s="756">
        <v>14</v>
      </c>
      <c r="B63" s="428" t="s">
        <v>599</v>
      </c>
      <c r="C63" s="429" t="s">
        <v>53</v>
      </c>
      <c r="D63" s="429" t="s">
        <v>593</v>
      </c>
      <c r="E63" s="430"/>
      <c r="F63"/>
      <c r="G63"/>
      <c r="H63"/>
      <c r="I63" s="474"/>
      <c r="J63" s="409"/>
    </row>
    <row r="64" spans="1:10" ht="12" customHeight="1">
      <c r="A64" s="756"/>
      <c r="B64" s="431" t="s">
        <v>647</v>
      </c>
      <c r="C64" s="432">
        <v>2151</v>
      </c>
      <c r="D64" s="432">
        <v>27846</v>
      </c>
      <c r="E64" s="433">
        <v>20547088</v>
      </c>
      <c r="F64"/>
      <c r="G64"/>
      <c r="H64"/>
      <c r="I64" s="474"/>
      <c r="J64" s="409"/>
    </row>
    <row r="65" spans="1:10" ht="12" customHeight="1">
      <c r="A65" s="756"/>
      <c r="B65" s="431" t="s">
        <v>648</v>
      </c>
      <c r="C65" s="432">
        <v>478</v>
      </c>
      <c r="D65" s="432">
        <v>6181</v>
      </c>
      <c r="E65" s="433">
        <v>20137076</v>
      </c>
      <c r="F65"/>
      <c r="G65"/>
      <c r="H65"/>
      <c r="I65" s="474"/>
      <c r="J65" s="409"/>
    </row>
    <row r="66" spans="1:10" ht="12" customHeight="1">
      <c r="A66" s="756"/>
      <c r="B66" s="434" t="s">
        <v>649</v>
      </c>
      <c r="C66" s="432">
        <v>27</v>
      </c>
      <c r="D66" s="432">
        <v>365</v>
      </c>
      <c r="E66" s="433">
        <v>40709595</v>
      </c>
      <c r="F66"/>
      <c r="G66"/>
      <c r="H66"/>
      <c r="I66" s="474"/>
      <c r="J66" s="409"/>
    </row>
    <row r="67" spans="1:10" ht="12" customHeight="1">
      <c r="A67" s="756"/>
      <c r="B67" s="434" t="s">
        <v>650</v>
      </c>
      <c r="C67" s="432">
        <v>2602</v>
      </c>
      <c r="D67" s="432">
        <v>33662</v>
      </c>
      <c r="E67" s="433">
        <v>20222026</v>
      </c>
      <c r="F67"/>
      <c r="G67"/>
      <c r="H67"/>
      <c r="I67" s="474"/>
      <c r="J67" s="409"/>
    </row>
    <row r="68" spans="1:10" ht="12" customHeight="1">
      <c r="A68" s="756"/>
      <c r="B68" s="427" t="s">
        <v>651</v>
      </c>
      <c r="C68" s="432">
        <v>0</v>
      </c>
      <c r="D68" s="432">
        <v>33252</v>
      </c>
      <c r="E68" s="433">
        <v>20496188</v>
      </c>
      <c r="F68"/>
      <c r="G68"/>
      <c r="H68"/>
      <c r="I68" s="474"/>
      <c r="J68" s="409"/>
    </row>
    <row r="69" spans="1:10" ht="12" customHeight="1">
      <c r="A69" s="756"/>
      <c r="B69" s="427" t="s">
        <v>652</v>
      </c>
      <c r="C69" s="432">
        <v>0</v>
      </c>
      <c r="D69" s="432">
        <v>775</v>
      </c>
      <c r="E69" s="433">
        <v>19541533</v>
      </c>
      <c r="F69"/>
      <c r="G69"/>
      <c r="H69"/>
      <c r="I69" s="474"/>
      <c r="J69" s="409"/>
    </row>
    <row r="70" spans="1:10" ht="12" customHeight="1">
      <c r="A70" s="756"/>
      <c r="B70" s="434" t="s">
        <v>653</v>
      </c>
      <c r="C70" s="435">
        <v>2629</v>
      </c>
      <c r="D70" s="435">
        <v>34027</v>
      </c>
      <c r="E70" s="436">
        <v>20474960</v>
      </c>
      <c r="F70"/>
      <c r="G70"/>
      <c r="H70"/>
      <c r="I70" s="474"/>
      <c r="J70" s="409"/>
    </row>
    <row r="71" spans="1:10" ht="12" customHeight="1">
      <c r="A71" s="756">
        <v>19</v>
      </c>
      <c r="B71" s="428" t="s">
        <v>600</v>
      </c>
      <c r="C71" s="429" t="s">
        <v>53</v>
      </c>
      <c r="D71" s="429" t="s">
        <v>593</v>
      </c>
      <c r="E71" s="430"/>
      <c r="F71"/>
      <c r="G71"/>
      <c r="H71"/>
      <c r="I71" s="474"/>
      <c r="J71" s="409"/>
    </row>
    <row r="72" spans="1:10" ht="12" customHeight="1">
      <c r="A72" s="756"/>
      <c r="B72" s="431" t="s">
        <v>647</v>
      </c>
      <c r="C72" s="432">
        <v>363</v>
      </c>
      <c r="D72" s="432">
        <v>5732</v>
      </c>
      <c r="E72" s="433">
        <v>40648303</v>
      </c>
      <c r="F72"/>
      <c r="G72"/>
      <c r="H72"/>
      <c r="I72" s="474"/>
      <c r="J72" s="409"/>
    </row>
    <row r="73" spans="1:10" ht="12" customHeight="1">
      <c r="A73" s="756"/>
      <c r="B73" s="431" t="s">
        <v>648</v>
      </c>
      <c r="C73" s="432">
        <v>108</v>
      </c>
      <c r="D73" s="432">
        <v>2680</v>
      </c>
      <c r="E73" s="433">
        <v>33924543</v>
      </c>
      <c r="F73"/>
      <c r="G73"/>
      <c r="H73"/>
      <c r="I73" s="474"/>
      <c r="J73" s="409"/>
    </row>
    <row r="74" spans="1:10" ht="12" customHeight="1">
      <c r="A74" s="756"/>
      <c r="B74" s="434" t="s">
        <v>649</v>
      </c>
      <c r="C74" s="432">
        <v>36</v>
      </c>
      <c r="D74" s="432">
        <v>1429</v>
      </c>
      <c r="E74" s="433">
        <v>52441689</v>
      </c>
      <c r="F74"/>
      <c r="G74"/>
      <c r="H74"/>
      <c r="I74" s="474"/>
      <c r="J74" s="409"/>
    </row>
    <row r="75" spans="1:10" ht="12" customHeight="1">
      <c r="A75" s="756"/>
      <c r="B75" s="434" t="s">
        <v>650</v>
      </c>
      <c r="C75" s="432">
        <v>435</v>
      </c>
      <c r="D75" s="432">
        <v>6983</v>
      </c>
      <c r="E75" s="433">
        <v>35775760</v>
      </c>
      <c r="F75"/>
      <c r="G75"/>
      <c r="H75"/>
      <c r="I75" s="474"/>
      <c r="J75" s="409"/>
    </row>
    <row r="76" spans="1:10" ht="12" customHeight="1">
      <c r="A76" s="756"/>
      <c r="B76" s="427" t="s">
        <v>651</v>
      </c>
      <c r="C76" s="432">
        <v>0</v>
      </c>
      <c r="D76" s="432">
        <v>8016</v>
      </c>
      <c r="E76" s="433">
        <v>38831178</v>
      </c>
      <c r="F76"/>
      <c r="G76"/>
      <c r="H76"/>
      <c r="I76" s="474"/>
      <c r="J76" s="409"/>
    </row>
    <row r="77" spans="1:10" ht="12" customHeight="1">
      <c r="A77" s="756"/>
      <c r="B77" s="427" t="s">
        <v>652</v>
      </c>
      <c r="C77" s="432">
        <v>0</v>
      </c>
      <c r="D77" s="432">
        <v>396</v>
      </c>
      <c r="E77" s="433">
        <v>35184823</v>
      </c>
      <c r="F77"/>
      <c r="G77"/>
      <c r="H77"/>
      <c r="I77" s="474"/>
      <c r="J77" s="409"/>
    </row>
    <row r="78" spans="1:10" ht="12" customHeight="1">
      <c r="A78" s="756"/>
      <c r="B78" s="434" t="s">
        <v>653</v>
      </c>
      <c r="C78" s="435">
        <v>471</v>
      </c>
      <c r="D78" s="435">
        <v>8412</v>
      </c>
      <c r="E78" s="436">
        <v>38659647</v>
      </c>
      <c r="F78"/>
      <c r="G78"/>
      <c r="H78"/>
      <c r="I78" s="474"/>
      <c r="J78" s="409"/>
    </row>
    <row r="79" spans="1:10" ht="12" customHeight="1">
      <c r="A79" s="756">
        <v>20</v>
      </c>
      <c r="B79" s="428" t="s">
        <v>601</v>
      </c>
      <c r="C79" s="429" t="s">
        <v>53</v>
      </c>
      <c r="D79" s="429" t="s">
        <v>593</v>
      </c>
      <c r="E79" s="430"/>
      <c r="F79"/>
      <c r="G79"/>
      <c r="H79"/>
      <c r="I79" s="474"/>
      <c r="J79" s="409"/>
    </row>
    <row r="80" spans="1:10" ht="12" customHeight="1">
      <c r="A80" s="756"/>
      <c r="B80" s="431" t="s">
        <v>647</v>
      </c>
      <c r="C80" s="432">
        <v>29678</v>
      </c>
      <c r="D80" s="432">
        <v>259442</v>
      </c>
      <c r="E80" s="433">
        <v>27954394</v>
      </c>
      <c r="F80"/>
      <c r="G80"/>
      <c r="H80"/>
      <c r="I80" s="474"/>
      <c r="J80" s="409"/>
    </row>
    <row r="81" spans="1:10" ht="12" customHeight="1">
      <c r="A81" s="756"/>
      <c r="B81" s="431" t="s">
        <v>648</v>
      </c>
      <c r="C81" s="432">
        <v>463</v>
      </c>
      <c r="D81" s="432">
        <v>7510</v>
      </c>
      <c r="E81" s="433">
        <v>23222036</v>
      </c>
      <c r="F81"/>
      <c r="G81"/>
      <c r="H81"/>
      <c r="I81" s="474"/>
      <c r="J81" s="409"/>
    </row>
    <row r="82" spans="1:10" ht="12" customHeight="1">
      <c r="A82" s="756"/>
      <c r="B82" s="434" t="s">
        <v>649</v>
      </c>
      <c r="C82" s="432">
        <v>347</v>
      </c>
      <c r="D82" s="432">
        <v>29910</v>
      </c>
      <c r="E82" s="433">
        <v>59432608</v>
      </c>
      <c r="F82"/>
      <c r="G82"/>
      <c r="H82"/>
      <c r="I82" s="474"/>
      <c r="J82" s="409"/>
    </row>
    <row r="83" spans="1:10" ht="12" customHeight="1">
      <c r="A83" s="756"/>
      <c r="B83" s="434" t="s">
        <v>650</v>
      </c>
      <c r="C83" s="432">
        <v>29794</v>
      </c>
      <c r="D83" s="432">
        <v>237042</v>
      </c>
      <c r="E83" s="433">
        <v>23828944</v>
      </c>
      <c r="F83"/>
      <c r="G83"/>
      <c r="H83"/>
      <c r="I83" s="474"/>
      <c r="J83" s="409"/>
    </row>
    <row r="84" spans="1:10" ht="12" customHeight="1">
      <c r="A84" s="756"/>
      <c r="B84" s="427" t="s">
        <v>651</v>
      </c>
      <c r="C84" s="432">
        <v>0</v>
      </c>
      <c r="D84" s="432">
        <v>216714</v>
      </c>
      <c r="E84" s="433">
        <v>28620744</v>
      </c>
      <c r="F84"/>
      <c r="G84"/>
      <c r="H84"/>
      <c r="I84" s="474"/>
      <c r="J84" s="409"/>
    </row>
    <row r="85" spans="1:10" ht="12" customHeight="1">
      <c r="A85" s="756"/>
      <c r="B85" s="427" t="s">
        <v>652</v>
      </c>
      <c r="C85" s="432">
        <v>0</v>
      </c>
      <c r="D85" s="432">
        <v>50238</v>
      </c>
      <c r="E85" s="433">
        <v>24078560</v>
      </c>
      <c r="F85"/>
      <c r="G85"/>
      <c r="H85"/>
      <c r="I85" s="474"/>
      <c r="J85" s="409"/>
    </row>
    <row r="86" spans="1:10" ht="12" customHeight="1">
      <c r="A86" s="756"/>
      <c r="B86" s="434" t="s">
        <v>653</v>
      </c>
      <c r="C86" s="435">
        <v>30141</v>
      </c>
      <c r="D86" s="435">
        <v>266952</v>
      </c>
      <c r="E86" s="436">
        <v>27841612</v>
      </c>
      <c r="F86"/>
      <c r="G86"/>
      <c r="H86"/>
      <c r="I86" s="474"/>
      <c r="J86" s="409"/>
    </row>
    <row r="87" spans="1:10" ht="12" customHeight="1">
      <c r="A87" s="756">
        <v>21</v>
      </c>
      <c r="B87" s="428" t="s">
        <v>602</v>
      </c>
      <c r="C87" s="429" t="s">
        <v>53</v>
      </c>
      <c r="D87" s="429" t="s">
        <v>593</v>
      </c>
      <c r="E87" s="430"/>
      <c r="F87"/>
      <c r="G87"/>
      <c r="H87"/>
      <c r="I87" s="474"/>
      <c r="J87" s="409"/>
    </row>
    <row r="88" spans="1:10" ht="12" customHeight="1">
      <c r="A88" s="756"/>
      <c r="B88" s="431" t="s">
        <v>647</v>
      </c>
      <c r="C88" s="432">
        <v>400</v>
      </c>
      <c r="D88" s="432">
        <v>9441</v>
      </c>
      <c r="E88" s="433">
        <v>45181254</v>
      </c>
      <c r="F88"/>
      <c r="G88"/>
      <c r="H88"/>
      <c r="I88" s="474"/>
      <c r="J88" s="409"/>
    </row>
    <row r="89" spans="1:10" ht="12" customHeight="1">
      <c r="A89" s="756"/>
      <c r="B89" s="431" t="s">
        <v>648</v>
      </c>
      <c r="C89" s="432">
        <v>6</v>
      </c>
      <c r="D89" s="432">
        <v>151</v>
      </c>
      <c r="E89" s="433">
        <v>20712053</v>
      </c>
      <c r="F89"/>
      <c r="G89"/>
      <c r="H89"/>
      <c r="I89" s="474"/>
      <c r="J89" s="409"/>
    </row>
    <row r="90" spans="1:10" ht="12" customHeight="1">
      <c r="A90" s="756"/>
      <c r="B90" s="434" t="s">
        <v>649</v>
      </c>
      <c r="C90" s="432">
        <v>9</v>
      </c>
      <c r="D90" s="432">
        <v>392</v>
      </c>
      <c r="E90" s="433">
        <v>34740260</v>
      </c>
      <c r="F90"/>
      <c r="G90"/>
      <c r="H90"/>
      <c r="I90" s="474"/>
      <c r="J90" s="409"/>
    </row>
    <row r="91" spans="1:10" ht="12" customHeight="1">
      <c r="A91" s="756"/>
      <c r="B91" s="434" t="s">
        <v>650</v>
      </c>
      <c r="C91" s="432">
        <v>397</v>
      </c>
      <c r="D91" s="432">
        <v>9200</v>
      </c>
      <c r="E91" s="433">
        <v>45234847</v>
      </c>
      <c r="F91"/>
      <c r="G91"/>
      <c r="H91"/>
      <c r="I91" s="474"/>
      <c r="J91" s="409"/>
    </row>
    <row r="92" spans="1:10" ht="12" customHeight="1">
      <c r="A92" s="756"/>
      <c r="B92" s="427" t="s">
        <v>651</v>
      </c>
      <c r="C92" s="432">
        <v>0</v>
      </c>
      <c r="D92" s="432">
        <v>8483</v>
      </c>
      <c r="E92" s="433">
        <v>45587566</v>
      </c>
      <c r="F92"/>
      <c r="G92"/>
      <c r="H92"/>
      <c r="I92" s="474"/>
      <c r="J92" s="409"/>
    </row>
    <row r="93" spans="1:10" ht="12" customHeight="1">
      <c r="A93" s="756"/>
      <c r="B93" s="427" t="s">
        <v>652</v>
      </c>
      <c r="C93" s="432">
        <v>0</v>
      </c>
      <c r="D93" s="432">
        <v>1109</v>
      </c>
      <c r="E93" s="433">
        <v>38531756</v>
      </c>
      <c r="F93"/>
      <c r="G93"/>
      <c r="H93"/>
      <c r="I93" s="474"/>
      <c r="J93" s="409"/>
    </row>
    <row r="94" spans="1:10" ht="12" customHeight="1">
      <c r="A94" s="756"/>
      <c r="B94" s="434" t="s">
        <v>653</v>
      </c>
      <c r="C94" s="435">
        <v>406</v>
      </c>
      <c r="D94" s="435">
        <v>9592</v>
      </c>
      <c r="E94" s="436">
        <v>44790720</v>
      </c>
      <c r="F94"/>
      <c r="G94"/>
      <c r="H94"/>
      <c r="I94" s="474"/>
      <c r="J94" s="409"/>
    </row>
    <row r="95" spans="1:10" ht="12" customHeight="1">
      <c r="A95" s="756">
        <v>22</v>
      </c>
      <c r="B95" s="428" t="s">
        <v>603</v>
      </c>
      <c r="C95" s="429" t="s">
        <v>53</v>
      </c>
      <c r="D95" s="429" t="s">
        <v>593</v>
      </c>
      <c r="E95" s="430"/>
      <c r="F95"/>
      <c r="G95"/>
      <c r="H95"/>
      <c r="I95" s="474"/>
      <c r="J95" s="409"/>
    </row>
    <row r="96" spans="1:10" ht="12" customHeight="1">
      <c r="A96" s="756"/>
      <c r="B96" s="431" t="s">
        <v>647</v>
      </c>
      <c r="C96" s="432">
        <v>110</v>
      </c>
      <c r="D96" s="432">
        <v>15574</v>
      </c>
      <c r="E96" s="433">
        <v>59264182</v>
      </c>
      <c r="F96"/>
      <c r="G96"/>
      <c r="H96"/>
      <c r="I96" s="474"/>
      <c r="J96" s="409"/>
    </row>
    <row r="97" spans="1:10" ht="12" customHeight="1">
      <c r="A97" s="756"/>
      <c r="B97" s="431" t="s">
        <v>648</v>
      </c>
      <c r="C97" s="432">
        <v>31</v>
      </c>
      <c r="D97" s="432">
        <v>4836</v>
      </c>
      <c r="E97" s="433">
        <v>52808663</v>
      </c>
      <c r="F97"/>
      <c r="G97"/>
      <c r="H97"/>
      <c r="I97" s="474"/>
      <c r="J97" s="409"/>
    </row>
    <row r="98" spans="1:10" ht="12" customHeight="1">
      <c r="A98" s="756"/>
      <c r="B98" s="434" t="s">
        <v>649</v>
      </c>
      <c r="C98" s="432">
        <v>92</v>
      </c>
      <c r="D98" s="432">
        <v>11553</v>
      </c>
      <c r="E98" s="433">
        <v>57860319</v>
      </c>
      <c r="F98"/>
      <c r="G98"/>
      <c r="H98"/>
      <c r="I98" s="474"/>
      <c r="J98" s="409"/>
    </row>
    <row r="99" spans="1:10" ht="12" customHeight="1">
      <c r="A99" s="756"/>
      <c r="B99" s="434" t="s">
        <v>650</v>
      </c>
      <c r="C99" s="432">
        <v>49</v>
      </c>
      <c r="D99" s="432">
        <v>8857</v>
      </c>
      <c r="E99" s="433">
        <v>58331168</v>
      </c>
      <c r="F99"/>
      <c r="G99"/>
      <c r="H99"/>
      <c r="I99" s="474"/>
      <c r="J99" s="409"/>
    </row>
    <row r="100" spans="1:10" ht="12" customHeight="1">
      <c r="A100" s="756"/>
      <c r="B100" s="427" t="s">
        <v>651</v>
      </c>
      <c r="C100" s="432">
        <v>0</v>
      </c>
      <c r="D100" s="432">
        <v>12061</v>
      </c>
      <c r="E100" s="433">
        <v>60114959</v>
      </c>
      <c r="F100"/>
      <c r="G100"/>
      <c r="H100"/>
      <c r="I100" s="474"/>
      <c r="J100" s="409"/>
    </row>
    <row r="101" spans="1:10" ht="12" customHeight="1">
      <c r="A101" s="756"/>
      <c r="B101" s="427" t="s">
        <v>652</v>
      </c>
      <c r="C101" s="432">
        <v>0</v>
      </c>
      <c r="D101" s="432">
        <v>8349</v>
      </c>
      <c r="E101" s="433">
        <v>53952789</v>
      </c>
      <c r="F101"/>
      <c r="G101"/>
      <c r="H101"/>
      <c r="I101" s="474"/>
      <c r="J101" s="409"/>
    </row>
    <row r="102" spans="1:10" ht="12" customHeight="1">
      <c r="A102" s="756"/>
      <c r="B102" s="434" t="s">
        <v>653</v>
      </c>
      <c r="C102" s="435">
        <v>141</v>
      </c>
      <c r="D102" s="435">
        <v>20410</v>
      </c>
      <c r="E102" s="436">
        <v>58026760</v>
      </c>
      <c r="F102"/>
      <c r="G102"/>
      <c r="H102"/>
      <c r="I102" s="474"/>
      <c r="J102" s="409"/>
    </row>
    <row r="103" spans="1:10" ht="12" customHeight="1">
      <c r="A103" s="756">
        <v>23</v>
      </c>
      <c r="B103" s="428" t="s">
        <v>604</v>
      </c>
      <c r="C103" s="429" t="s">
        <v>53</v>
      </c>
      <c r="D103" s="429" t="s">
        <v>593</v>
      </c>
      <c r="E103" s="430"/>
      <c r="F103"/>
      <c r="G103"/>
      <c r="H103"/>
      <c r="I103" s="474"/>
      <c r="J103" s="409"/>
    </row>
    <row r="104" spans="1:10" ht="12" customHeight="1">
      <c r="A104" s="756"/>
      <c r="B104" s="431" t="s">
        <v>647</v>
      </c>
      <c r="C104" s="432">
        <v>12919</v>
      </c>
      <c r="D104" s="432">
        <v>365803</v>
      </c>
      <c r="E104" s="433">
        <v>23489287</v>
      </c>
      <c r="F104"/>
      <c r="G104"/>
      <c r="H104"/>
      <c r="I104" s="474"/>
      <c r="J104" s="409"/>
    </row>
    <row r="105" spans="1:10" ht="12" customHeight="1">
      <c r="A105" s="756"/>
      <c r="B105" s="431" t="s">
        <v>648</v>
      </c>
      <c r="C105" s="432">
        <v>215</v>
      </c>
      <c r="D105" s="432">
        <v>2741</v>
      </c>
      <c r="E105" s="433">
        <v>23018624</v>
      </c>
      <c r="F105"/>
      <c r="G105"/>
      <c r="H105"/>
      <c r="I105" s="474"/>
      <c r="J105" s="409"/>
    </row>
    <row r="106" spans="1:10" ht="12" customHeight="1">
      <c r="A106" s="756"/>
      <c r="B106" s="434" t="s">
        <v>649</v>
      </c>
      <c r="C106" s="432">
        <v>74</v>
      </c>
      <c r="D106" s="432">
        <v>937</v>
      </c>
      <c r="E106" s="433">
        <v>37127547</v>
      </c>
      <c r="F106"/>
      <c r="G106"/>
      <c r="H106"/>
      <c r="I106" s="474"/>
      <c r="J106" s="409"/>
    </row>
    <row r="107" spans="1:10" ht="12" customHeight="1">
      <c r="A107" s="756"/>
      <c r="B107" s="434" t="s">
        <v>650</v>
      </c>
      <c r="C107" s="432">
        <v>13060</v>
      </c>
      <c r="D107" s="432">
        <v>367607</v>
      </c>
      <c r="E107" s="433">
        <v>23462887</v>
      </c>
      <c r="F107"/>
      <c r="G107"/>
      <c r="H107"/>
      <c r="I107" s="474"/>
      <c r="J107" s="409"/>
    </row>
    <row r="108" spans="1:10" ht="12" customHeight="1">
      <c r="A108" s="756"/>
      <c r="B108" s="427" t="s">
        <v>651</v>
      </c>
      <c r="C108" s="432">
        <v>0</v>
      </c>
      <c r="D108" s="432">
        <v>270826</v>
      </c>
      <c r="E108" s="433">
        <v>23848037</v>
      </c>
      <c r="F108"/>
      <c r="G108"/>
      <c r="H108"/>
      <c r="I108" s="474"/>
      <c r="J108" s="409"/>
    </row>
    <row r="109" spans="1:10" ht="12" customHeight="1">
      <c r="A109" s="756"/>
      <c r="B109" s="427" t="s">
        <v>652</v>
      </c>
      <c r="C109" s="432">
        <v>0</v>
      </c>
      <c r="D109" s="432">
        <v>97718</v>
      </c>
      <c r="E109" s="433">
        <v>22456851</v>
      </c>
      <c r="F109"/>
      <c r="G109"/>
      <c r="H109"/>
      <c r="I109" s="474"/>
      <c r="J109" s="409"/>
    </row>
    <row r="110" spans="1:10" ht="12" customHeight="1">
      <c r="A110" s="756"/>
      <c r="B110" s="434" t="s">
        <v>653</v>
      </c>
      <c r="C110" s="435">
        <v>13134</v>
      </c>
      <c r="D110" s="435">
        <v>368544</v>
      </c>
      <c r="E110" s="436">
        <v>23486014</v>
      </c>
      <c r="F110"/>
      <c r="G110"/>
      <c r="H110"/>
      <c r="I110" s="474"/>
      <c r="J110" s="409"/>
    </row>
    <row r="111" spans="1:10" ht="12" customHeight="1">
      <c r="A111" s="756">
        <v>24</v>
      </c>
      <c r="B111" s="428" t="s">
        <v>605</v>
      </c>
      <c r="C111" s="429" t="s">
        <v>53</v>
      </c>
      <c r="D111" s="429" t="s">
        <v>593</v>
      </c>
      <c r="E111" s="430"/>
      <c r="F111"/>
      <c r="G111"/>
      <c r="H111"/>
      <c r="I111" s="474"/>
      <c r="J111" s="409"/>
    </row>
    <row r="112" spans="1:10" ht="12" customHeight="1">
      <c r="A112" s="756"/>
      <c r="B112" s="431" t="s">
        <v>647</v>
      </c>
      <c r="C112" s="432">
        <v>29939</v>
      </c>
      <c r="D112" s="432">
        <v>404509</v>
      </c>
      <c r="E112" s="433">
        <v>20895644</v>
      </c>
      <c r="F112"/>
      <c r="G112"/>
      <c r="H112"/>
      <c r="I112" s="474"/>
      <c r="J112" s="409"/>
    </row>
    <row r="113" spans="1:10" ht="12" customHeight="1">
      <c r="A113" s="756"/>
      <c r="B113" s="431" t="s">
        <v>648</v>
      </c>
      <c r="C113" s="432">
        <v>166</v>
      </c>
      <c r="D113" s="432">
        <v>2084</v>
      </c>
      <c r="E113" s="433">
        <v>35756036</v>
      </c>
      <c r="F113"/>
      <c r="G113"/>
      <c r="H113"/>
      <c r="I113" s="474"/>
      <c r="J113" s="409"/>
    </row>
    <row r="114" spans="1:10" ht="12" customHeight="1">
      <c r="A114" s="756"/>
      <c r="B114" s="434" t="s">
        <v>649</v>
      </c>
      <c r="C114" s="432">
        <v>290</v>
      </c>
      <c r="D114" s="432">
        <v>6589</v>
      </c>
      <c r="E114" s="433">
        <v>55705581</v>
      </c>
      <c r="F114"/>
      <c r="G114"/>
      <c r="H114"/>
      <c r="I114" s="474"/>
      <c r="J114" s="409"/>
    </row>
    <row r="115" spans="1:10" ht="12" customHeight="1">
      <c r="A115" s="756"/>
      <c r="B115" s="434" t="s">
        <v>650</v>
      </c>
      <c r="C115" s="432">
        <v>29815</v>
      </c>
      <c r="D115" s="432">
        <v>400004</v>
      </c>
      <c r="E115" s="433">
        <v>20475807</v>
      </c>
      <c r="F115"/>
      <c r="G115"/>
      <c r="H115"/>
      <c r="I115" s="474"/>
      <c r="J115" s="409"/>
    </row>
    <row r="116" spans="1:10" ht="12" customHeight="1">
      <c r="A116" s="756"/>
      <c r="B116" s="427" t="s">
        <v>651</v>
      </c>
      <c r="C116" s="432">
        <v>0</v>
      </c>
      <c r="D116" s="432">
        <v>224264</v>
      </c>
      <c r="E116" s="433">
        <v>21185407</v>
      </c>
      <c r="F116"/>
      <c r="G116"/>
      <c r="H116"/>
      <c r="I116" s="474"/>
      <c r="J116" s="409"/>
    </row>
    <row r="117" spans="1:10" ht="12" customHeight="1">
      <c r="A117" s="756"/>
      <c r="B117" s="427" t="s">
        <v>652</v>
      </c>
      <c r="C117" s="432">
        <v>0</v>
      </c>
      <c r="D117" s="432">
        <v>182329</v>
      </c>
      <c r="E117" s="433">
        <v>20645884</v>
      </c>
      <c r="F117"/>
      <c r="G117"/>
      <c r="H117"/>
      <c r="I117" s="474"/>
      <c r="J117" s="409"/>
    </row>
    <row r="118" spans="1:10" ht="12" customHeight="1" thickBot="1">
      <c r="A118" s="757"/>
      <c r="B118" s="437" t="s">
        <v>653</v>
      </c>
      <c r="C118" s="438">
        <v>30105</v>
      </c>
      <c r="D118" s="438">
        <v>406593</v>
      </c>
      <c r="E118" s="439">
        <v>20946396</v>
      </c>
      <c r="F118"/>
      <c r="G118"/>
      <c r="H118"/>
      <c r="I118" s="474"/>
      <c r="J118" s="409"/>
    </row>
    <row r="119" spans="1:10" ht="14.25" thickBot="1" thickTop="1">
      <c r="A119" s="415"/>
      <c r="B119" s="415"/>
      <c r="C119" s="415"/>
      <c r="D119" s="415"/>
      <c r="E119" s="415"/>
      <c r="J119" s="409"/>
    </row>
    <row r="120" spans="1:10" ht="12.75" customHeight="1" thickTop="1">
      <c r="A120" s="752" t="s">
        <v>578</v>
      </c>
      <c r="B120" s="447" t="s">
        <v>53</v>
      </c>
      <c r="C120" s="443"/>
      <c r="D120" s="443" t="s">
        <v>579</v>
      </c>
      <c r="E120" s="440" t="s">
        <v>580</v>
      </c>
      <c r="J120" s="409"/>
    </row>
    <row r="121" spans="1:10" ht="12.75">
      <c r="A121" s="753"/>
      <c r="B121" s="448" t="s">
        <v>581</v>
      </c>
      <c r="C121" s="444" t="s">
        <v>582</v>
      </c>
      <c r="D121" s="444" t="s">
        <v>583</v>
      </c>
      <c r="E121" s="441" t="s">
        <v>584</v>
      </c>
      <c r="J121" s="409"/>
    </row>
    <row r="122" spans="1:10" ht="12.75">
      <c r="A122" s="753"/>
      <c r="B122" s="449" t="s">
        <v>585</v>
      </c>
      <c r="C122" s="445" t="s">
        <v>586</v>
      </c>
      <c r="D122" s="445" t="s">
        <v>587</v>
      </c>
      <c r="E122" s="441" t="s">
        <v>588</v>
      </c>
      <c r="J122" s="409"/>
    </row>
    <row r="123" spans="1:10" ht="11.25" customHeight="1">
      <c r="A123" s="758"/>
      <c r="B123" s="451"/>
      <c r="C123" s="445" t="s">
        <v>589</v>
      </c>
      <c r="D123" s="445" t="s">
        <v>590</v>
      </c>
      <c r="E123" s="452" t="s">
        <v>591</v>
      </c>
      <c r="J123" s="409"/>
    </row>
    <row r="124" spans="1:10" ht="12" customHeight="1">
      <c r="A124" s="756">
        <v>25</v>
      </c>
      <c r="B124" s="428" t="s">
        <v>606</v>
      </c>
      <c r="C124" s="429" t="s">
        <v>53</v>
      </c>
      <c r="D124" s="429" t="s">
        <v>593</v>
      </c>
      <c r="E124" s="430"/>
      <c r="F124"/>
      <c r="G124"/>
      <c r="H124"/>
      <c r="I124" s="474"/>
      <c r="J124" s="409"/>
    </row>
    <row r="125" spans="1:10" ht="12" customHeight="1">
      <c r="A125" s="756"/>
      <c r="B125" s="431" t="s">
        <v>647</v>
      </c>
      <c r="C125" s="432">
        <v>10618</v>
      </c>
      <c r="D125" s="432">
        <v>50848</v>
      </c>
      <c r="E125" s="433">
        <v>21691191</v>
      </c>
      <c r="F125"/>
      <c r="G125"/>
      <c r="H125"/>
      <c r="I125" s="474"/>
      <c r="J125" s="409"/>
    </row>
    <row r="126" spans="1:10" ht="12" customHeight="1">
      <c r="A126" s="756"/>
      <c r="B126" s="431" t="s">
        <v>648</v>
      </c>
      <c r="C126" s="432">
        <v>81</v>
      </c>
      <c r="D126" s="432">
        <v>499</v>
      </c>
      <c r="E126" s="433">
        <v>23195242</v>
      </c>
      <c r="F126"/>
      <c r="G126"/>
      <c r="H126"/>
      <c r="I126" s="474"/>
      <c r="J126" s="409"/>
    </row>
    <row r="127" spans="1:10" ht="12" customHeight="1">
      <c r="A127" s="756"/>
      <c r="B127" s="434" t="s">
        <v>649</v>
      </c>
      <c r="C127" s="432">
        <v>48</v>
      </c>
      <c r="D127" s="432">
        <v>875</v>
      </c>
      <c r="E127" s="433">
        <v>52129165</v>
      </c>
      <c r="F127"/>
      <c r="G127"/>
      <c r="H127"/>
      <c r="I127" s="474"/>
      <c r="J127" s="409"/>
    </row>
    <row r="128" spans="1:10" ht="12" customHeight="1">
      <c r="A128" s="756"/>
      <c r="B128" s="434" t="s">
        <v>650</v>
      </c>
      <c r="C128" s="432">
        <v>10651</v>
      </c>
      <c r="D128" s="432">
        <v>50472</v>
      </c>
      <c r="E128" s="433">
        <v>21162408</v>
      </c>
      <c r="F128"/>
      <c r="G128"/>
      <c r="H128"/>
      <c r="I128" s="474"/>
      <c r="J128" s="409"/>
    </row>
    <row r="129" spans="1:10" ht="12" customHeight="1">
      <c r="A129" s="756"/>
      <c r="B129" s="427" t="s">
        <v>651</v>
      </c>
      <c r="C129" s="432">
        <v>0</v>
      </c>
      <c r="D129" s="432">
        <v>48092</v>
      </c>
      <c r="E129" s="433">
        <v>21679382</v>
      </c>
      <c r="F129"/>
      <c r="G129"/>
      <c r="H129"/>
      <c r="I129" s="474"/>
      <c r="J129" s="409"/>
    </row>
    <row r="130" spans="1:10" ht="12" customHeight="1">
      <c r="A130" s="756"/>
      <c r="B130" s="427" t="s">
        <v>652</v>
      </c>
      <c r="C130" s="432">
        <v>0</v>
      </c>
      <c r="D130" s="432">
        <v>3255</v>
      </c>
      <c r="E130" s="433">
        <v>22070334</v>
      </c>
      <c r="F130"/>
      <c r="G130"/>
      <c r="H130"/>
      <c r="I130" s="474"/>
      <c r="J130" s="409"/>
    </row>
    <row r="131" spans="1:10" ht="12" customHeight="1">
      <c r="A131" s="756"/>
      <c r="B131" s="434" t="s">
        <v>653</v>
      </c>
      <c r="C131" s="435">
        <v>10699</v>
      </c>
      <c r="D131" s="435">
        <v>51347</v>
      </c>
      <c r="E131" s="436">
        <v>21704123</v>
      </c>
      <c r="F131"/>
      <c r="G131"/>
      <c r="H131"/>
      <c r="I131" s="474"/>
      <c r="J131" s="409"/>
    </row>
    <row r="132" spans="1:10" ht="12" customHeight="1">
      <c r="A132" s="756">
        <v>26</v>
      </c>
      <c r="B132" s="428" t="s">
        <v>607</v>
      </c>
      <c r="C132" s="429" t="s">
        <v>53</v>
      </c>
      <c r="D132" s="429" t="s">
        <v>593</v>
      </c>
      <c r="E132" s="430"/>
      <c r="F132"/>
      <c r="G132"/>
      <c r="H132"/>
      <c r="I132" s="474"/>
      <c r="J132" s="409"/>
    </row>
    <row r="133" spans="1:10" ht="12" customHeight="1">
      <c r="A133" s="756"/>
      <c r="B133" s="431" t="s">
        <v>647</v>
      </c>
      <c r="C133" s="432">
        <v>14502</v>
      </c>
      <c r="D133" s="432">
        <v>90948</v>
      </c>
      <c r="E133" s="433">
        <v>20829482</v>
      </c>
      <c r="F133"/>
      <c r="G133"/>
      <c r="H133"/>
      <c r="I133" s="474"/>
      <c r="J133" s="409"/>
    </row>
    <row r="134" spans="1:10" ht="12" customHeight="1">
      <c r="A134" s="756"/>
      <c r="B134" s="431" t="s">
        <v>648</v>
      </c>
      <c r="C134" s="432">
        <v>23</v>
      </c>
      <c r="D134" s="432">
        <v>145</v>
      </c>
      <c r="E134" s="433">
        <v>21031242</v>
      </c>
      <c r="F134"/>
      <c r="G134"/>
      <c r="H134"/>
      <c r="I134" s="474"/>
      <c r="J134" s="409"/>
    </row>
    <row r="135" spans="1:10" ht="12" customHeight="1">
      <c r="A135" s="756"/>
      <c r="B135" s="434" t="s">
        <v>649</v>
      </c>
      <c r="C135" s="432">
        <v>21</v>
      </c>
      <c r="D135" s="432">
        <v>945</v>
      </c>
      <c r="E135" s="433">
        <v>74793609</v>
      </c>
      <c r="F135"/>
      <c r="G135"/>
      <c r="H135"/>
      <c r="I135" s="474"/>
      <c r="J135" s="409"/>
    </row>
    <row r="136" spans="1:10" ht="12" customHeight="1">
      <c r="A136" s="756"/>
      <c r="B136" s="434" t="s">
        <v>650</v>
      </c>
      <c r="C136" s="432">
        <v>14504</v>
      </c>
      <c r="D136" s="432">
        <v>90148</v>
      </c>
      <c r="E136" s="433">
        <v>20266184</v>
      </c>
      <c r="F136"/>
      <c r="G136"/>
      <c r="H136"/>
      <c r="I136" s="474"/>
      <c r="J136" s="409"/>
    </row>
    <row r="137" spans="1:10" ht="12" customHeight="1">
      <c r="A137" s="756"/>
      <c r="B137" s="427" t="s">
        <v>651</v>
      </c>
      <c r="C137" s="432">
        <v>0</v>
      </c>
      <c r="D137" s="432">
        <v>84541</v>
      </c>
      <c r="E137" s="433">
        <v>20733144</v>
      </c>
      <c r="F137"/>
      <c r="G137"/>
      <c r="H137"/>
      <c r="I137" s="474"/>
      <c r="J137" s="409"/>
    </row>
    <row r="138" spans="1:10" ht="12" customHeight="1">
      <c r="A138" s="756"/>
      <c r="B138" s="427" t="s">
        <v>652</v>
      </c>
      <c r="C138" s="432">
        <v>0</v>
      </c>
      <c r="D138" s="432">
        <v>6552</v>
      </c>
      <c r="E138" s="433">
        <v>22074420</v>
      </c>
      <c r="F138"/>
      <c r="G138"/>
      <c r="H138"/>
      <c r="I138" s="474"/>
      <c r="J138" s="409"/>
    </row>
    <row r="139" spans="1:10" ht="12" customHeight="1">
      <c r="A139" s="756"/>
      <c r="B139" s="434" t="s">
        <v>653</v>
      </c>
      <c r="C139" s="435">
        <v>14525</v>
      </c>
      <c r="D139" s="435">
        <v>91093</v>
      </c>
      <c r="E139" s="436">
        <v>20829783</v>
      </c>
      <c r="F139"/>
      <c r="G139"/>
      <c r="H139"/>
      <c r="I139" s="474"/>
      <c r="J139" s="409"/>
    </row>
    <row r="140" spans="1:10" ht="12" customHeight="1">
      <c r="A140" s="756">
        <v>27</v>
      </c>
      <c r="B140" s="428" t="s">
        <v>608</v>
      </c>
      <c r="C140" s="429" t="s">
        <v>53</v>
      </c>
      <c r="D140" s="429" t="s">
        <v>593</v>
      </c>
      <c r="E140" s="430"/>
      <c r="F140"/>
      <c r="G140"/>
      <c r="H140"/>
      <c r="I140" s="474"/>
      <c r="J140" s="409"/>
    </row>
    <row r="141" spans="1:10" ht="12" customHeight="1">
      <c r="A141" s="756"/>
      <c r="B141" s="431" t="s">
        <v>647</v>
      </c>
      <c r="C141" s="432">
        <v>1584</v>
      </c>
      <c r="D141" s="432">
        <v>30052</v>
      </c>
      <c r="E141" s="433">
        <v>31308712</v>
      </c>
      <c r="F141"/>
      <c r="G141"/>
      <c r="H141"/>
      <c r="I141" s="474"/>
      <c r="J141" s="409"/>
    </row>
    <row r="142" spans="1:10" ht="12" customHeight="1">
      <c r="A142" s="756"/>
      <c r="B142" s="431" t="s">
        <v>648</v>
      </c>
      <c r="C142" s="432">
        <v>8</v>
      </c>
      <c r="D142" s="432">
        <v>302</v>
      </c>
      <c r="E142" s="433">
        <v>20061519</v>
      </c>
      <c r="F142"/>
      <c r="G142"/>
      <c r="H142"/>
      <c r="I142" s="474"/>
      <c r="J142" s="409"/>
    </row>
    <row r="143" spans="1:10" ht="12" customHeight="1">
      <c r="A143" s="756"/>
      <c r="B143" s="434" t="s">
        <v>649</v>
      </c>
      <c r="C143" s="432">
        <v>3</v>
      </c>
      <c r="D143" s="432">
        <v>427</v>
      </c>
      <c r="E143" s="433">
        <v>52739766</v>
      </c>
      <c r="F143"/>
      <c r="G143"/>
      <c r="H143"/>
      <c r="I143" s="474"/>
      <c r="J143" s="409"/>
    </row>
    <row r="144" spans="1:10" ht="12" customHeight="1">
      <c r="A144" s="756"/>
      <c r="B144" s="434" t="s">
        <v>650</v>
      </c>
      <c r="C144" s="432">
        <v>1589</v>
      </c>
      <c r="D144" s="432">
        <v>29927</v>
      </c>
      <c r="E144" s="433">
        <v>30905841</v>
      </c>
      <c r="F144"/>
      <c r="G144"/>
      <c r="H144"/>
      <c r="I144" s="474"/>
      <c r="J144" s="409"/>
    </row>
    <row r="145" spans="1:10" ht="12" customHeight="1">
      <c r="A145" s="756"/>
      <c r="B145" s="427" t="s">
        <v>651</v>
      </c>
      <c r="C145" s="432">
        <v>0</v>
      </c>
      <c r="D145" s="432">
        <v>25157</v>
      </c>
      <c r="E145" s="433">
        <v>32180819</v>
      </c>
      <c r="F145"/>
      <c r="G145"/>
      <c r="H145"/>
      <c r="I145" s="474"/>
      <c r="J145" s="409"/>
    </row>
    <row r="146" spans="1:10" ht="12" customHeight="1">
      <c r="A146" s="756"/>
      <c r="B146" s="427" t="s">
        <v>652</v>
      </c>
      <c r="C146" s="432">
        <v>0</v>
      </c>
      <c r="D146" s="432">
        <v>5197</v>
      </c>
      <c r="E146" s="433">
        <v>26201158</v>
      </c>
      <c r="F146"/>
      <c r="G146"/>
      <c r="H146"/>
      <c r="I146" s="474"/>
      <c r="J146" s="409"/>
    </row>
    <row r="147" spans="1:10" ht="12" customHeight="1">
      <c r="A147" s="756"/>
      <c r="B147" s="434" t="s">
        <v>653</v>
      </c>
      <c r="C147" s="435">
        <v>1592</v>
      </c>
      <c r="D147" s="435">
        <v>30354</v>
      </c>
      <c r="E147" s="436">
        <v>31214499</v>
      </c>
      <c r="F147"/>
      <c r="G147"/>
      <c r="H147"/>
      <c r="I147" s="474"/>
      <c r="J147" s="409"/>
    </row>
    <row r="148" spans="1:10" ht="12" customHeight="1">
      <c r="A148" s="756">
        <v>28</v>
      </c>
      <c r="B148" s="428" t="s">
        <v>609</v>
      </c>
      <c r="C148" s="429" t="s">
        <v>53</v>
      </c>
      <c r="D148" s="429" t="s">
        <v>593</v>
      </c>
      <c r="E148" s="430"/>
      <c r="F148"/>
      <c r="G148"/>
      <c r="H148"/>
      <c r="I148" s="474"/>
      <c r="J148" s="409"/>
    </row>
    <row r="149" spans="1:10" ht="12" customHeight="1">
      <c r="A149" s="756"/>
      <c r="B149" s="431" t="s">
        <v>647</v>
      </c>
      <c r="C149" s="432">
        <v>8370</v>
      </c>
      <c r="D149" s="432">
        <v>66602</v>
      </c>
      <c r="E149" s="433">
        <v>28436092</v>
      </c>
      <c r="F149"/>
      <c r="G149"/>
      <c r="H149"/>
      <c r="I149" s="474"/>
      <c r="J149" s="409"/>
    </row>
    <row r="150" spans="1:10" ht="12" customHeight="1">
      <c r="A150" s="756"/>
      <c r="B150" s="431" t="s">
        <v>648</v>
      </c>
      <c r="C150" s="432">
        <v>18</v>
      </c>
      <c r="D150" s="432">
        <v>186</v>
      </c>
      <c r="E150" s="433">
        <v>24259303</v>
      </c>
      <c r="F150"/>
      <c r="G150"/>
      <c r="H150"/>
      <c r="I150" s="474"/>
      <c r="J150" s="409"/>
    </row>
    <row r="151" spans="1:10" ht="12" customHeight="1">
      <c r="A151" s="756"/>
      <c r="B151" s="434" t="s">
        <v>649</v>
      </c>
      <c r="C151" s="432">
        <v>74</v>
      </c>
      <c r="D151" s="432">
        <v>1585</v>
      </c>
      <c r="E151" s="433">
        <v>58696927</v>
      </c>
      <c r="F151"/>
      <c r="G151"/>
      <c r="H151"/>
      <c r="I151" s="474"/>
      <c r="J151" s="409"/>
    </row>
    <row r="152" spans="1:10" ht="12" customHeight="1">
      <c r="A152" s="756"/>
      <c r="B152" s="434" t="s">
        <v>650</v>
      </c>
      <c r="C152" s="432">
        <v>8314</v>
      </c>
      <c r="D152" s="432">
        <v>65203</v>
      </c>
      <c r="E152" s="433">
        <v>27673242</v>
      </c>
      <c r="F152"/>
      <c r="G152"/>
      <c r="H152"/>
      <c r="I152" s="474"/>
      <c r="J152" s="409"/>
    </row>
    <row r="153" spans="1:10" ht="12" customHeight="1">
      <c r="A153" s="756"/>
      <c r="B153" s="427" t="s">
        <v>651</v>
      </c>
      <c r="C153" s="432">
        <v>0</v>
      </c>
      <c r="D153" s="432">
        <v>53281</v>
      </c>
      <c r="E153" s="433">
        <v>28248787</v>
      </c>
      <c r="F153"/>
      <c r="G153"/>
      <c r="H153"/>
      <c r="I153" s="474"/>
      <c r="J153" s="409"/>
    </row>
    <row r="154" spans="1:10" ht="12" customHeight="1">
      <c r="A154" s="756"/>
      <c r="B154" s="427" t="s">
        <v>652</v>
      </c>
      <c r="C154" s="432">
        <v>0</v>
      </c>
      <c r="D154" s="432">
        <v>13507</v>
      </c>
      <c r="E154" s="433">
        <v>29137359</v>
      </c>
      <c r="F154"/>
      <c r="G154"/>
      <c r="H154"/>
      <c r="I154" s="474"/>
      <c r="J154" s="409"/>
    </row>
    <row r="155" spans="1:10" ht="12" customHeight="1">
      <c r="A155" s="756"/>
      <c r="B155" s="434" t="s">
        <v>653</v>
      </c>
      <c r="C155" s="435">
        <v>8388</v>
      </c>
      <c r="D155" s="435">
        <v>66788</v>
      </c>
      <c r="E155" s="436">
        <v>28426738</v>
      </c>
      <c r="F155"/>
      <c r="G155"/>
      <c r="H155"/>
      <c r="I155" s="474"/>
      <c r="J155" s="409"/>
    </row>
    <row r="156" spans="1:10" ht="12" customHeight="1">
      <c r="A156" s="756">
        <v>29</v>
      </c>
      <c r="B156" s="428" t="s">
        <v>610</v>
      </c>
      <c r="C156" s="429" t="s">
        <v>53</v>
      </c>
      <c r="D156" s="429" t="s">
        <v>593</v>
      </c>
      <c r="E156" s="430"/>
      <c r="F156"/>
      <c r="G156"/>
      <c r="H156"/>
      <c r="I156" s="474"/>
      <c r="J156" s="409"/>
    </row>
    <row r="157" spans="1:10" ht="12" customHeight="1">
      <c r="A157" s="756"/>
      <c r="B157" s="431" t="s">
        <v>647</v>
      </c>
      <c r="C157" s="432">
        <v>1901</v>
      </c>
      <c r="D157" s="432">
        <v>19245</v>
      </c>
      <c r="E157" s="433">
        <v>20874166</v>
      </c>
      <c r="F157"/>
      <c r="G157"/>
      <c r="H157"/>
      <c r="I157" s="474"/>
      <c r="J157" s="409"/>
    </row>
    <row r="158" spans="1:10" ht="12" customHeight="1">
      <c r="A158" s="756"/>
      <c r="B158" s="431" t="s">
        <v>648</v>
      </c>
      <c r="C158" s="432">
        <v>5</v>
      </c>
      <c r="D158" s="432">
        <v>38</v>
      </c>
      <c r="E158" s="433">
        <v>17981618</v>
      </c>
      <c r="F158"/>
      <c r="G158"/>
      <c r="H158"/>
      <c r="I158" s="474"/>
      <c r="J158" s="409"/>
    </row>
    <row r="159" spans="1:10" ht="12" customHeight="1">
      <c r="A159" s="756"/>
      <c r="B159" s="434" t="s">
        <v>649</v>
      </c>
      <c r="C159" s="432">
        <v>0</v>
      </c>
      <c r="D159" s="432">
        <v>0</v>
      </c>
      <c r="E159" s="433">
        <v>0</v>
      </c>
      <c r="F159"/>
      <c r="G159"/>
      <c r="H159"/>
      <c r="I159" s="474"/>
      <c r="J159" s="409"/>
    </row>
    <row r="160" spans="1:10" ht="12" customHeight="1">
      <c r="A160" s="756"/>
      <c r="B160" s="434" t="s">
        <v>650</v>
      </c>
      <c r="C160" s="432">
        <v>1906</v>
      </c>
      <c r="D160" s="432">
        <v>19283</v>
      </c>
      <c r="E160" s="433">
        <v>20868318</v>
      </c>
      <c r="F160"/>
      <c r="G160"/>
      <c r="H160"/>
      <c r="I160" s="474"/>
      <c r="J160" s="409"/>
    </row>
    <row r="161" spans="1:10" ht="12" customHeight="1">
      <c r="A161" s="756"/>
      <c r="B161" s="427" t="s">
        <v>651</v>
      </c>
      <c r="C161" s="432">
        <v>0</v>
      </c>
      <c r="D161" s="432">
        <v>15548</v>
      </c>
      <c r="E161" s="433">
        <v>20867926</v>
      </c>
      <c r="F161"/>
      <c r="G161"/>
      <c r="H161"/>
      <c r="I161" s="474"/>
      <c r="J161" s="409"/>
    </row>
    <row r="162" spans="1:10" ht="12" customHeight="1">
      <c r="A162" s="756"/>
      <c r="B162" s="427" t="s">
        <v>652</v>
      </c>
      <c r="C162" s="432">
        <v>0</v>
      </c>
      <c r="D162" s="432">
        <v>3735</v>
      </c>
      <c r="E162" s="433">
        <v>20869762</v>
      </c>
      <c r="F162"/>
      <c r="G162"/>
      <c r="H162"/>
      <c r="I162" s="474"/>
      <c r="J162" s="409"/>
    </row>
    <row r="163" spans="1:10" ht="12" customHeight="1">
      <c r="A163" s="756"/>
      <c r="B163" s="434" t="s">
        <v>653</v>
      </c>
      <c r="C163" s="435">
        <v>1906</v>
      </c>
      <c r="D163" s="435">
        <v>19283</v>
      </c>
      <c r="E163" s="436">
        <v>20868318</v>
      </c>
      <c r="F163"/>
      <c r="G163"/>
      <c r="H163"/>
      <c r="I163" s="474"/>
      <c r="J163" s="409"/>
    </row>
    <row r="164" spans="1:10" ht="12" customHeight="1">
      <c r="A164" s="756">
        <v>30</v>
      </c>
      <c r="B164" s="428" t="s">
        <v>611</v>
      </c>
      <c r="C164" s="429" t="s">
        <v>53</v>
      </c>
      <c r="D164" s="429" t="s">
        <v>593</v>
      </c>
      <c r="E164" s="430"/>
      <c r="F164"/>
      <c r="G164"/>
      <c r="H164"/>
      <c r="I164" s="474"/>
      <c r="J164" s="409"/>
    </row>
    <row r="165" spans="1:10" ht="12" customHeight="1">
      <c r="A165" s="756"/>
      <c r="B165" s="431" t="s">
        <v>647</v>
      </c>
      <c r="C165" s="432">
        <v>1738</v>
      </c>
      <c r="D165" s="432">
        <v>29421</v>
      </c>
      <c r="E165" s="433">
        <v>35932077</v>
      </c>
      <c r="F165"/>
      <c r="G165"/>
      <c r="H165"/>
      <c r="I165" s="474"/>
      <c r="J165" s="409"/>
    </row>
    <row r="166" spans="1:10" ht="12" customHeight="1">
      <c r="A166" s="756"/>
      <c r="B166" s="431" t="s">
        <v>648</v>
      </c>
      <c r="C166" s="432">
        <v>5</v>
      </c>
      <c r="D166" s="432">
        <v>37</v>
      </c>
      <c r="E166" s="433">
        <v>22681592</v>
      </c>
      <c r="F166"/>
      <c r="G166"/>
      <c r="H166"/>
      <c r="I166" s="474"/>
      <c r="J166" s="409"/>
    </row>
    <row r="167" spans="1:10" ht="12" customHeight="1">
      <c r="A167" s="756"/>
      <c r="B167" s="434" t="s">
        <v>649</v>
      </c>
      <c r="C167" s="432">
        <v>2</v>
      </c>
      <c r="D167" s="432">
        <v>257</v>
      </c>
      <c r="E167" s="433">
        <v>45136309</v>
      </c>
      <c r="F167"/>
      <c r="G167"/>
      <c r="H167"/>
      <c r="I167" s="474"/>
      <c r="J167" s="409"/>
    </row>
    <row r="168" spans="1:10" ht="12" customHeight="1">
      <c r="A168" s="756"/>
      <c r="B168" s="434" t="s">
        <v>650</v>
      </c>
      <c r="C168" s="432">
        <v>1741</v>
      </c>
      <c r="D168" s="432">
        <v>29201</v>
      </c>
      <c r="E168" s="433">
        <v>35864380</v>
      </c>
      <c r="F168"/>
      <c r="G168"/>
      <c r="H168"/>
      <c r="I168" s="474"/>
      <c r="J168" s="409"/>
    </row>
    <row r="169" spans="1:10" ht="12" customHeight="1">
      <c r="A169" s="756"/>
      <c r="B169" s="427" t="s">
        <v>651</v>
      </c>
      <c r="C169" s="432">
        <v>0</v>
      </c>
      <c r="D169" s="432">
        <v>26665</v>
      </c>
      <c r="E169" s="433">
        <v>36774136</v>
      </c>
      <c r="F169"/>
      <c r="G169"/>
      <c r="H169"/>
      <c r="I169" s="474"/>
      <c r="J169" s="409"/>
    </row>
    <row r="170" spans="1:10" ht="12" customHeight="1">
      <c r="A170" s="756"/>
      <c r="B170" s="427" t="s">
        <v>652</v>
      </c>
      <c r="C170" s="432">
        <v>0</v>
      </c>
      <c r="D170" s="432">
        <v>2793</v>
      </c>
      <c r="E170" s="433">
        <v>27672557</v>
      </c>
      <c r="F170"/>
      <c r="G170"/>
      <c r="H170"/>
      <c r="I170" s="474"/>
      <c r="J170" s="409"/>
    </row>
    <row r="171" spans="1:10" ht="12" customHeight="1">
      <c r="A171" s="756"/>
      <c r="B171" s="434" t="s">
        <v>653</v>
      </c>
      <c r="C171" s="435">
        <v>1743</v>
      </c>
      <c r="D171" s="435">
        <v>29458</v>
      </c>
      <c r="E171" s="436">
        <v>35919327</v>
      </c>
      <c r="F171"/>
      <c r="G171"/>
      <c r="H171"/>
      <c r="I171" s="474"/>
      <c r="J171" s="409"/>
    </row>
    <row r="172" spans="1:10" ht="12" customHeight="1">
      <c r="A172" s="756">
        <v>31</v>
      </c>
      <c r="B172" s="428" t="s">
        <v>612</v>
      </c>
      <c r="C172" s="429" t="s">
        <v>53</v>
      </c>
      <c r="D172" s="429" t="s">
        <v>593</v>
      </c>
      <c r="E172" s="430"/>
      <c r="F172"/>
      <c r="G172"/>
      <c r="H172"/>
      <c r="I172" s="474"/>
      <c r="J172" s="409"/>
    </row>
    <row r="173" spans="1:10" ht="12" customHeight="1">
      <c r="A173" s="756"/>
      <c r="B173" s="431" t="s">
        <v>647</v>
      </c>
      <c r="C173" s="432">
        <v>3626</v>
      </c>
      <c r="D173" s="432">
        <v>77216</v>
      </c>
      <c r="E173" s="433">
        <v>45547727</v>
      </c>
      <c r="F173"/>
      <c r="G173"/>
      <c r="H173"/>
      <c r="I173" s="474"/>
      <c r="J173" s="409"/>
    </row>
    <row r="174" spans="1:10" ht="12" customHeight="1">
      <c r="A174" s="756"/>
      <c r="B174" s="431" t="s">
        <v>648</v>
      </c>
      <c r="C174" s="432">
        <v>112</v>
      </c>
      <c r="D174" s="432">
        <v>625</v>
      </c>
      <c r="E174" s="433">
        <v>26512031</v>
      </c>
      <c r="F174"/>
      <c r="G174"/>
      <c r="H174"/>
      <c r="I174" s="474"/>
      <c r="J174" s="409"/>
    </row>
    <row r="175" spans="1:10" ht="12" customHeight="1">
      <c r="A175" s="756"/>
      <c r="B175" s="434" t="s">
        <v>649</v>
      </c>
      <c r="C175" s="432">
        <v>21</v>
      </c>
      <c r="D175" s="432">
        <v>6279</v>
      </c>
      <c r="E175" s="433">
        <v>75824109</v>
      </c>
      <c r="F175"/>
      <c r="G175"/>
      <c r="H175"/>
      <c r="I175" s="474"/>
      <c r="J175" s="409"/>
    </row>
    <row r="176" spans="1:10" ht="12" customHeight="1">
      <c r="A176" s="756"/>
      <c r="B176" s="434" t="s">
        <v>650</v>
      </c>
      <c r="C176" s="432">
        <v>3717</v>
      </c>
      <c r="D176" s="432">
        <v>71562</v>
      </c>
      <c r="E176" s="433">
        <v>42626998</v>
      </c>
      <c r="F176"/>
      <c r="G176"/>
      <c r="H176"/>
      <c r="I176" s="474"/>
      <c r="J176" s="409"/>
    </row>
    <row r="177" spans="1:10" ht="12" customHeight="1">
      <c r="A177" s="756"/>
      <c r="B177" s="427" t="s">
        <v>651</v>
      </c>
      <c r="C177" s="432">
        <v>0</v>
      </c>
      <c r="D177" s="432">
        <v>61513</v>
      </c>
      <c r="E177" s="433">
        <v>46080794</v>
      </c>
      <c r="F177"/>
      <c r="G177"/>
      <c r="H177"/>
      <c r="I177" s="474"/>
      <c r="J177" s="409"/>
    </row>
    <row r="178" spans="1:10" ht="12" customHeight="1">
      <c r="A178" s="756"/>
      <c r="B178" s="427" t="s">
        <v>652</v>
      </c>
      <c r="C178" s="432">
        <v>0</v>
      </c>
      <c r="D178" s="432">
        <v>16328</v>
      </c>
      <c r="E178" s="433">
        <v>42919451</v>
      </c>
      <c r="F178"/>
      <c r="G178"/>
      <c r="H178"/>
      <c r="I178" s="474"/>
      <c r="J178" s="409"/>
    </row>
    <row r="179" spans="1:10" ht="12" customHeight="1" thickBot="1">
      <c r="A179" s="757"/>
      <c r="B179" s="437" t="s">
        <v>653</v>
      </c>
      <c r="C179" s="438">
        <v>3738</v>
      </c>
      <c r="D179" s="438">
        <v>77841</v>
      </c>
      <c r="E179" s="439">
        <v>45422195</v>
      </c>
      <c r="F179"/>
      <c r="G179"/>
      <c r="H179"/>
      <c r="I179" s="474"/>
      <c r="J179" s="409"/>
    </row>
    <row r="180" spans="1:10" ht="13.5" thickTop="1">
      <c r="A180" s="411"/>
      <c r="B180" s="412"/>
      <c r="C180" s="413"/>
      <c r="D180" s="413"/>
      <c r="E180" s="413"/>
      <c r="J180" s="409"/>
    </row>
    <row r="181" spans="1:10" ht="13.5" thickBot="1">
      <c r="A181" s="411"/>
      <c r="B181" s="412"/>
      <c r="C181" s="413"/>
      <c r="D181" s="413"/>
      <c r="E181" s="416" t="s">
        <v>53</v>
      </c>
      <c r="J181" s="409"/>
    </row>
    <row r="182" spans="1:10" ht="12.75" customHeight="1" thickTop="1">
      <c r="A182" s="752" t="s">
        <v>578</v>
      </c>
      <c r="B182" s="447" t="s">
        <v>53</v>
      </c>
      <c r="C182" s="443"/>
      <c r="D182" s="443" t="s">
        <v>579</v>
      </c>
      <c r="E182" s="440" t="s">
        <v>580</v>
      </c>
      <c r="J182" s="409"/>
    </row>
    <row r="183" spans="1:10" ht="12.75">
      <c r="A183" s="753"/>
      <c r="B183" s="448" t="s">
        <v>581</v>
      </c>
      <c r="C183" s="444" t="s">
        <v>582</v>
      </c>
      <c r="D183" s="444" t="s">
        <v>583</v>
      </c>
      <c r="E183" s="441" t="s">
        <v>584</v>
      </c>
      <c r="J183" s="409"/>
    </row>
    <row r="184" spans="1:10" ht="12.75">
      <c r="A184" s="753"/>
      <c r="B184" s="449" t="s">
        <v>585</v>
      </c>
      <c r="C184" s="445" t="s">
        <v>586</v>
      </c>
      <c r="D184" s="445" t="s">
        <v>587</v>
      </c>
      <c r="E184" s="441" t="s">
        <v>588</v>
      </c>
      <c r="J184" s="409"/>
    </row>
    <row r="185" spans="1:10" ht="11.25" customHeight="1">
      <c r="A185" s="758"/>
      <c r="B185" s="451"/>
      <c r="C185" s="445" t="s">
        <v>589</v>
      </c>
      <c r="D185" s="445" t="s">
        <v>590</v>
      </c>
      <c r="E185" s="452" t="s">
        <v>591</v>
      </c>
      <c r="J185" s="409"/>
    </row>
    <row r="186" spans="1:10" ht="12" customHeight="1">
      <c r="A186" s="756">
        <v>32</v>
      </c>
      <c r="B186" s="428" t="s">
        <v>613</v>
      </c>
      <c r="C186" s="429" t="s">
        <v>53</v>
      </c>
      <c r="D186" s="429" t="s">
        <v>593</v>
      </c>
      <c r="E186" s="430"/>
      <c r="F186"/>
      <c r="G186"/>
      <c r="H186"/>
      <c r="I186" s="474"/>
      <c r="J186" s="409"/>
    </row>
    <row r="187" spans="1:10" ht="12" customHeight="1">
      <c r="A187" s="756"/>
      <c r="B187" s="431" t="s">
        <v>647</v>
      </c>
      <c r="C187" s="432">
        <v>329</v>
      </c>
      <c r="D187" s="432">
        <v>7953</v>
      </c>
      <c r="E187" s="433">
        <v>64562571</v>
      </c>
      <c r="F187"/>
      <c r="G187"/>
      <c r="H187"/>
      <c r="I187" s="474"/>
      <c r="J187" s="409"/>
    </row>
    <row r="188" spans="1:10" ht="12" customHeight="1">
      <c r="A188" s="756"/>
      <c r="B188" s="431" t="s">
        <v>648</v>
      </c>
      <c r="C188" s="432">
        <v>4</v>
      </c>
      <c r="D188" s="432">
        <v>31</v>
      </c>
      <c r="E188" s="433">
        <v>19048913</v>
      </c>
      <c r="F188"/>
      <c r="G188"/>
      <c r="H188"/>
      <c r="I188" s="474"/>
      <c r="J188" s="409"/>
    </row>
    <row r="189" spans="1:10" ht="12" customHeight="1">
      <c r="A189" s="756"/>
      <c r="B189" s="434" t="s">
        <v>649</v>
      </c>
      <c r="C189" s="432">
        <v>1</v>
      </c>
      <c r="D189" s="432">
        <v>2</v>
      </c>
      <c r="E189" s="433">
        <v>24850000</v>
      </c>
      <c r="F189"/>
      <c r="G189"/>
      <c r="H189"/>
      <c r="I189" s="474"/>
      <c r="J189" s="409"/>
    </row>
    <row r="190" spans="1:10" ht="12" customHeight="1">
      <c r="A190" s="756"/>
      <c r="B190" s="434" t="s">
        <v>650</v>
      </c>
      <c r="C190" s="432">
        <v>332</v>
      </c>
      <c r="D190" s="432">
        <v>7982</v>
      </c>
      <c r="E190" s="433">
        <v>64392938</v>
      </c>
      <c r="F190"/>
      <c r="G190"/>
      <c r="H190"/>
      <c r="I190" s="474"/>
      <c r="J190" s="409"/>
    </row>
    <row r="191" spans="1:10" ht="12" customHeight="1">
      <c r="A191" s="756"/>
      <c r="B191" s="427" t="s">
        <v>651</v>
      </c>
      <c r="C191" s="432">
        <v>0</v>
      </c>
      <c r="D191" s="432">
        <v>7356</v>
      </c>
      <c r="E191" s="433">
        <v>66205009</v>
      </c>
      <c r="F191"/>
      <c r="G191"/>
      <c r="H191"/>
      <c r="I191" s="474"/>
      <c r="J191" s="409"/>
    </row>
    <row r="192" spans="1:10" ht="12" customHeight="1">
      <c r="A192" s="756"/>
      <c r="B192" s="427" t="s">
        <v>652</v>
      </c>
      <c r="C192" s="432">
        <v>0</v>
      </c>
      <c r="D192" s="432">
        <v>628</v>
      </c>
      <c r="E192" s="433">
        <v>42853841</v>
      </c>
      <c r="F192"/>
      <c r="G192"/>
      <c r="H192"/>
      <c r="I192" s="474"/>
      <c r="J192" s="409"/>
    </row>
    <row r="193" spans="1:10" ht="12" customHeight="1">
      <c r="A193" s="756"/>
      <c r="B193" s="434" t="s">
        <v>653</v>
      </c>
      <c r="C193" s="435">
        <v>333</v>
      </c>
      <c r="D193" s="435">
        <v>7984</v>
      </c>
      <c r="E193" s="436">
        <v>64382749</v>
      </c>
      <c r="F193"/>
      <c r="G193"/>
      <c r="H193"/>
      <c r="I193" s="474"/>
      <c r="J193" s="409"/>
    </row>
    <row r="194" spans="1:10" ht="12" customHeight="1">
      <c r="A194" s="756">
        <v>33</v>
      </c>
      <c r="B194" s="428" t="s">
        <v>614</v>
      </c>
      <c r="C194" s="429" t="s">
        <v>53</v>
      </c>
      <c r="D194" s="429" t="s">
        <v>593</v>
      </c>
      <c r="E194" s="430"/>
      <c r="F194"/>
      <c r="G194"/>
      <c r="H194"/>
      <c r="I194" s="474"/>
      <c r="J194" s="409"/>
    </row>
    <row r="195" spans="1:10" ht="12" customHeight="1">
      <c r="A195" s="756"/>
      <c r="B195" s="431" t="s">
        <v>647</v>
      </c>
      <c r="C195" s="432">
        <v>9456</v>
      </c>
      <c r="D195" s="432">
        <v>157388</v>
      </c>
      <c r="E195" s="433">
        <v>28829148</v>
      </c>
      <c r="F195"/>
      <c r="G195"/>
      <c r="H195"/>
      <c r="I195" s="474"/>
      <c r="J195" s="409"/>
    </row>
    <row r="196" spans="1:10" ht="12" customHeight="1">
      <c r="A196" s="756"/>
      <c r="B196" s="431" t="s">
        <v>648</v>
      </c>
      <c r="C196" s="432">
        <v>299</v>
      </c>
      <c r="D196" s="432">
        <v>8370</v>
      </c>
      <c r="E196" s="433">
        <v>22357872</v>
      </c>
      <c r="F196"/>
      <c r="G196"/>
      <c r="H196"/>
      <c r="I196" s="474"/>
      <c r="J196" s="409"/>
    </row>
    <row r="197" spans="1:10" ht="12" customHeight="1">
      <c r="A197" s="756"/>
      <c r="B197" s="434" t="s">
        <v>649</v>
      </c>
      <c r="C197" s="432">
        <v>33</v>
      </c>
      <c r="D197" s="432">
        <v>1136</v>
      </c>
      <c r="E197" s="433">
        <v>54518187</v>
      </c>
      <c r="F197"/>
      <c r="G197"/>
      <c r="H197"/>
      <c r="I197" s="474"/>
      <c r="J197" s="409"/>
    </row>
    <row r="198" spans="1:10" ht="12" customHeight="1">
      <c r="A198" s="756"/>
      <c r="B198" s="434" t="s">
        <v>650</v>
      </c>
      <c r="C198" s="432">
        <v>9722</v>
      </c>
      <c r="D198" s="432">
        <v>164622</v>
      </c>
      <c r="E198" s="433">
        <v>28340191</v>
      </c>
      <c r="F198"/>
      <c r="G198"/>
      <c r="H198"/>
      <c r="I198" s="474"/>
      <c r="J198" s="409"/>
    </row>
    <row r="199" spans="1:10" ht="12" customHeight="1">
      <c r="A199" s="756"/>
      <c r="B199" s="427" t="s">
        <v>651</v>
      </c>
      <c r="C199" s="432">
        <v>0</v>
      </c>
      <c r="D199" s="432">
        <v>151109</v>
      </c>
      <c r="E199" s="433">
        <v>28756028</v>
      </c>
      <c r="F199"/>
      <c r="G199"/>
      <c r="H199"/>
      <c r="I199" s="474"/>
      <c r="J199" s="409"/>
    </row>
    <row r="200" spans="1:10" ht="12" customHeight="1">
      <c r="A200" s="756"/>
      <c r="B200" s="427" t="s">
        <v>652</v>
      </c>
      <c r="C200" s="432">
        <v>0</v>
      </c>
      <c r="D200" s="432">
        <v>14649</v>
      </c>
      <c r="E200" s="433">
        <v>26145989</v>
      </c>
      <c r="F200"/>
      <c r="G200"/>
      <c r="H200"/>
      <c r="I200" s="474"/>
      <c r="J200" s="409"/>
    </row>
    <row r="201" spans="1:10" ht="12" customHeight="1">
      <c r="A201" s="756"/>
      <c r="B201" s="434" t="s">
        <v>653</v>
      </c>
      <c r="C201" s="435">
        <v>9755</v>
      </c>
      <c r="D201" s="435">
        <v>165758</v>
      </c>
      <c r="E201" s="436">
        <v>28527580</v>
      </c>
      <c r="F201"/>
      <c r="G201"/>
      <c r="H201"/>
      <c r="I201" s="474"/>
      <c r="J201" s="409"/>
    </row>
    <row r="202" spans="1:10" ht="12" customHeight="1">
      <c r="A202" s="756">
        <v>34</v>
      </c>
      <c r="B202" s="428" t="s">
        <v>615</v>
      </c>
      <c r="C202" s="429" t="s">
        <v>53</v>
      </c>
      <c r="D202" s="429" t="s">
        <v>593</v>
      </c>
      <c r="E202" s="430"/>
      <c r="F202"/>
      <c r="G202"/>
      <c r="H202"/>
      <c r="I202" s="474"/>
      <c r="J202" s="409"/>
    </row>
    <row r="203" spans="1:10" ht="12" customHeight="1">
      <c r="A203" s="756"/>
      <c r="B203" s="431" t="s">
        <v>647</v>
      </c>
      <c r="C203" s="432">
        <v>2180</v>
      </c>
      <c r="D203" s="432">
        <v>76932</v>
      </c>
      <c r="E203" s="433">
        <v>47467434</v>
      </c>
      <c r="F203"/>
      <c r="G203"/>
      <c r="H203"/>
      <c r="I203" s="474"/>
      <c r="J203" s="409"/>
    </row>
    <row r="204" spans="1:10" ht="12" customHeight="1">
      <c r="A204" s="756"/>
      <c r="B204" s="431" t="s">
        <v>648</v>
      </c>
      <c r="C204" s="432">
        <v>47</v>
      </c>
      <c r="D204" s="432">
        <v>1802</v>
      </c>
      <c r="E204" s="433">
        <v>22741062</v>
      </c>
      <c r="F204"/>
      <c r="G204"/>
      <c r="H204"/>
      <c r="I204" s="474"/>
      <c r="J204" s="409"/>
    </row>
    <row r="205" spans="1:10" ht="12" customHeight="1">
      <c r="A205" s="756"/>
      <c r="B205" s="434" t="s">
        <v>649</v>
      </c>
      <c r="C205" s="432">
        <v>10</v>
      </c>
      <c r="D205" s="432">
        <v>7472</v>
      </c>
      <c r="E205" s="433">
        <v>1485618</v>
      </c>
      <c r="F205"/>
      <c r="G205"/>
      <c r="H205"/>
      <c r="I205" s="474"/>
      <c r="J205" s="409"/>
    </row>
    <row r="206" spans="1:10" ht="12" customHeight="1">
      <c r="A206" s="756"/>
      <c r="B206" s="434" t="s">
        <v>650</v>
      </c>
      <c r="C206" s="432">
        <v>2217</v>
      </c>
      <c r="D206" s="432">
        <v>71262</v>
      </c>
      <c r="E206" s="433">
        <v>40977242</v>
      </c>
      <c r="F206"/>
      <c r="G206"/>
      <c r="H206"/>
      <c r="I206" s="474"/>
      <c r="J206" s="409"/>
    </row>
    <row r="207" spans="1:10" ht="12" customHeight="1">
      <c r="A207" s="756"/>
      <c r="B207" s="427" t="s">
        <v>651</v>
      </c>
      <c r="C207" s="432">
        <v>0</v>
      </c>
      <c r="D207" s="432">
        <v>74545</v>
      </c>
      <c r="E207" s="433">
        <v>47500798</v>
      </c>
      <c r="F207"/>
      <c r="G207"/>
      <c r="H207"/>
      <c r="I207" s="474"/>
      <c r="J207" s="409"/>
    </row>
    <row r="208" spans="1:10" ht="12" customHeight="1">
      <c r="A208" s="756"/>
      <c r="B208" s="427" t="s">
        <v>652</v>
      </c>
      <c r="C208" s="432">
        <v>0</v>
      </c>
      <c r="D208" s="432">
        <v>4189</v>
      </c>
      <c r="E208" s="433">
        <v>37807591</v>
      </c>
      <c r="F208"/>
      <c r="G208"/>
      <c r="H208"/>
      <c r="I208" s="474"/>
      <c r="J208" s="409"/>
    </row>
    <row r="209" spans="1:10" ht="12" customHeight="1">
      <c r="A209" s="756"/>
      <c r="B209" s="434" t="s">
        <v>653</v>
      </c>
      <c r="C209" s="435">
        <v>2227</v>
      </c>
      <c r="D209" s="435">
        <v>78734</v>
      </c>
      <c r="E209" s="436">
        <v>46981596</v>
      </c>
      <c r="F209"/>
      <c r="G209"/>
      <c r="H209"/>
      <c r="I209" s="474"/>
      <c r="J209" s="409"/>
    </row>
    <row r="210" spans="1:10" ht="12" customHeight="1">
      <c r="A210" s="756">
        <v>35</v>
      </c>
      <c r="B210" s="428" t="s">
        <v>616</v>
      </c>
      <c r="C210" s="429" t="s">
        <v>53</v>
      </c>
      <c r="D210" s="429" t="s">
        <v>593</v>
      </c>
      <c r="E210" s="430"/>
      <c r="F210"/>
      <c r="G210"/>
      <c r="H210"/>
      <c r="I210" s="474"/>
      <c r="J210" s="408"/>
    </row>
    <row r="211" spans="1:10" ht="12" customHeight="1">
      <c r="A211" s="756"/>
      <c r="B211" s="431" t="s">
        <v>647</v>
      </c>
      <c r="C211" s="432">
        <v>23857</v>
      </c>
      <c r="D211" s="432">
        <v>255268</v>
      </c>
      <c r="E211" s="433">
        <v>26174895</v>
      </c>
      <c r="F211"/>
      <c r="G211"/>
      <c r="H211"/>
      <c r="I211" s="474"/>
      <c r="J211" s="408"/>
    </row>
    <row r="212" spans="1:10" ht="12" customHeight="1">
      <c r="A212" s="756"/>
      <c r="B212" s="431" t="s">
        <v>648</v>
      </c>
      <c r="C212" s="432">
        <v>390</v>
      </c>
      <c r="D212" s="432">
        <v>6473</v>
      </c>
      <c r="E212" s="433">
        <v>22801928</v>
      </c>
      <c r="F212"/>
      <c r="G212"/>
      <c r="H212"/>
      <c r="I212" s="474"/>
      <c r="J212" s="408"/>
    </row>
    <row r="213" spans="1:10" ht="12" customHeight="1">
      <c r="A213" s="756"/>
      <c r="B213" s="434" t="s">
        <v>649</v>
      </c>
      <c r="C213" s="432">
        <v>67</v>
      </c>
      <c r="D213" s="432">
        <v>3277</v>
      </c>
      <c r="E213" s="433">
        <v>61170249</v>
      </c>
      <c r="F213"/>
      <c r="G213"/>
      <c r="H213"/>
      <c r="I213" s="474"/>
      <c r="J213" s="408"/>
    </row>
    <row r="214" spans="1:10" ht="12" customHeight="1">
      <c r="A214" s="756"/>
      <c r="B214" s="434" t="s">
        <v>650</v>
      </c>
      <c r="C214" s="432">
        <v>24180</v>
      </c>
      <c r="D214" s="432">
        <v>258464</v>
      </c>
      <c r="E214" s="433">
        <v>25641710</v>
      </c>
      <c r="F214"/>
      <c r="G214"/>
      <c r="H214"/>
      <c r="I214" s="474"/>
      <c r="J214" s="408"/>
    </row>
    <row r="215" spans="1:10" ht="12" customHeight="1">
      <c r="A215" s="756"/>
      <c r="B215" s="427" t="s">
        <v>651</v>
      </c>
      <c r="C215" s="432">
        <v>0</v>
      </c>
      <c r="D215" s="432">
        <v>239899</v>
      </c>
      <c r="E215" s="433">
        <v>26215898</v>
      </c>
      <c r="F215"/>
      <c r="G215"/>
      <c r="H215"/>
      <c r="I215" s="474"/>
      <c r="J215" s="410">
        <v>0</v>
      </c>
    </row>
    <row r="216" spans="1:10" ht="12" customHeight="1">
      <c r="A216" s="756"/>
      <c r="B216" s="427" t="s">
        <v>652</v>
      </c>
      <c r="C216" s="432">
        <v>0</v>
      </c>
      <c r="D216" s="432">
        <v>21842</v>
      </c>
      <c r="E216" s="433">
        <v>24890138</v>
      </c>
      <c r="F216"/>
      <c r="G216"/>
      <c r="H216"/>
      <c r="I216" s="474"/>
      <c r="J216" s="417" t="e">
        <v>#VALUE!</v>
      </c>
    </row>
    <row r="217" spans="1:10" ht="12" customHeight="1">
      <c r="A217" s="756"/>
      <c r="B217" s="434" t="s">
        <v>653</v>
      </c>
      <c r="C217" s="435">
        <v>24247</v>
      </c>
      <c r="D217" s="435">
        <v>261741</v>
      </c>
      <c r="E217" s="436">
        <v>26104211</v>
      </c>
      <c r="F217"/>
      <c r="G217"/>
      <c r="H217"/>
      <c r="I217" s="474"/>
      <c r="J217" s="410" t="e">
        <v>#VALUE!</v>
      </c>
    </row>
    <row r="218" spans="1:10" ht="12" customHeight="1">
      <c r="A218" s="756">
        <v>36</v>
      </c>
      <c r="B218" s="428" t="s">
        <v>617</v>
      </c>
      <c r="C218" s="429" t="s">
        <v>53</v>
      </c>
      <c r="D218" s="429" t="s">
        <v>593</v>
      </c>
      <c r="E218" s="430"/>
      <c r="F218"/>
      <c r="G218"/>
      <c r="H218"/>
      <c r="I218" s="474"/>
      <c r="J218" s="408"/>
    </row>
    <row r="219" spans="1:10" ht="12" customHeight="1">
      <c r="A219" s="756"/>
      <c r="B219" s="431" t="s">
        <v>647</v>
      </c>
      <c r="C219" s="432">
        <v>20972</v>
      </c>
      <c r="D219" s="432">
        <v>201838</v>
      </c>
      <c r="E219" s="433">
        <v>28663356</v>
      </c>
      <c r="F219"/>
      <c r="G219"/>
      <c r="H219"/>
      <c r="I219" s="474"/>
      <c r="J219" s="408"/>
    </row>
    <row r="220" spans="1:10" ht="12" customHeight="1">
      <c r="A220" s="756"/>
      <c r="B220" s="431" t="s">
        <v>648</v>
      </c>
      <c r="C220" s="432">
        <v>232</v>
      </c>
      <c r="D220" s="432">
        <v>4113</v>
      </c>
      <c r="E220" s="433">
        <v>24395343</v>
      </c>
      <c r="F220"/>
      <c r="G220"/>
      <c r="H220"/>
      <c r="I220" s="474"/>
      <c r="J220" s="408"/>
    </row>
    <row r="221" spans="1:10" ht="12" customHeight="1">
      <c r="A221" s="756"/>
      <c r="B221" s="434" t="s">
        <v>649</v>
      </c>
      <c r="C221" s="432">
        <v>79</v>
      </c>
      <c r="D221" s="432">
        <v>6717</v>
      </c>
      <c r="E221" s="433">
        <v>58434855</v>
      </c>
      <c r="F221"/>
      <c r="G221"/>
      <c r="H221"/>
      <c r="I221" s="474"/>
      <c r="J221" s="408"/>
    </row>
    <row r="222" spans="1:10" ht="12" customHeight="1">
      <c r="A222" s="756"/>
      <c r="B222" s="434" t="s">
        <v>650</v>
      </c>
      <c r="C222" s="432">
        <v>21125</v>
      </c>
      <c r="D222" s="432">
        <v>199234</v>
      </c>
      <c r="E222" s="433">
        <v>27533584</v>
      </c>
      <c r="F222"/>
      <c r="G222"/>
      <c r="H222"/>
      <c r="I222" s="474"/>
      <c r="J222" s="408"/>
    </row>
    <row r="223" spans="1:10" ht="12" customHeight="1">
      <c r="A223" s="756"/>
      <c r="B223" s="427" t="s">
        <v>651</v>
      </c>
      <c r="C223" s="432">
        <v>0</v>
      </c>
      <c r="D223" s="432">
        <v>181804</v>
      </c>
      <c r="E223" s="433">
        <v>28799055</v>
      </c>
      <c r="F223"/>
      <c r="G223"/>
      <c r="H223"/>
      <c r="I223" s="474"/>
      <c r="J223" s="408"/>
    </row>
    <row r="224" spans="1:10" ht="12" customHeight="1">
      <c r="A224" s="756"/>
      <c r="B224" s="427" t="s">
        <v>652</v>
      </c>
      <c r="C224" s="432">
        <v>0</v>
      </c>
      <c r="D224" s="432">
        <v>24147</v>
      </c>
      <c r="E224" s="433">
        <v>26955382</v>
      </c>
      <c r="F224"/>
      <c r="G224"/>
      <c r="H224"/>
      <c r="I224" s="474"/>
      <c r="J224" s="408"/>
    </row>
    <row r="225" spans="1:10" ht="12" customHeight="1">
      <c r="A225" s="756"/>
      <c r="B225" s="434" t="s">
        <v>653</v>
      </c>
      <c r="C225" s="435">
        <v>21204</v>
      </c>
      <c r="D225" s="435">
        <v>205951</v>
      </c>
      <c r="E225" s="436">
        <v>28583503</v>
      </c>
      <c r="F225"/>
      <c r="G225"/>
      <c r="H225"/>
      <c r="I225" s="474"/>
      <c r="J225" s="408"/>
    </row>
    <row r="226" spans="1:10" ht="12" customHeight="1">
      <c r="A226" s="756">
        <v>37</v>
      </c>
      <c r="B226" s="428" t="s">
        <v>618</v>
      </c>
      <c r="C226" s="429" t="s">
        <v>53</v>
      </c>
      <c r="D226" s="429" t="s">
        <v>593</v>
      </c>
      <c r="E226" s="430"/>
      <c r="F226"/>
      <c r="G226"/>
      <c r="H226"/>
      <c r="I226" s="474"/>
      <c r="J226" s="409"/>
    </row>
    <row r="227" spans="1:10" ht="12" customHeight="1">
      <c r="A227" s="756"/>
      <c r="B227" s="431" t="s">
        <v>647</v>
      </c>
      <c r="C227" s="432">
        <v>8572</v>
      </c>
      <c r="D227" s="432">
        <v>99842</v>
      </c>
      <c r="E227" s="433">
        <v>33372583</v>
      </c>
      <c r="F227"/>
      <c r="G227"/>
      <c r="H227"/>
      <c r="I227" s="474"/>
      <c r="J227" s="409"/>
    </row>
    <row r="228" spans="1:10" ht="12" customHeight="1">
      <c r="A228" s="756"/>
      <c r="B228" s="431" t="s">
        <v>648</v>
      </c>
      <c r="C228" s="432">
        <v>122</v>
      </c>
      <c r="D228" s="432">
        <v>2849</v>
      </c>
      <c r="E228" s="433">
        <v>21911824</v>
      </c>
      <c r="F228"/>
      <c r="G228"/>
      <c r="H228"/>
      <c r="I228" s="474"/>
      <c r="J228" s="409"/>
    </row>
    <row r="229" spans="1:10" ht="12" customHeight="1">
      <c r="A229" s="756"/>
      <c r="B229" s="434" t="s">
        <v>649</v>
      </c>
      <c r="C229" s="432">
        <v>39</v>
      </c>
      <c r="D229" s="432">
        <v>1303</v>
      </c>
      <c r="E229" s="433">
        <v>74099894</v>
      </c>
      <c r="F229"/>
      <c r="G229"/>
      <c r="H229"/>
      <c r="I229" s="474"/>
      <c r="J229" s="409"/>
    </row>
    <row r="230" spans="1:10" ht="12" customHeight="1">
      <c r="A230" s="756"/>
      <c r="B230" s="434" t="s">
        <v>650</v>
      </c>
      <c r="C230" s="432">
        <v>8655</v>
      </c>
      <c r="D230" s="432">
        <v>101388</v>
      </c>
      <c r="E230" s="433">
        <v>32502970</v>
      </c>
      <c r="F230"/>
      <c r="G230"/>
      <c r="H230"/>
      <c r="I230" s="474"/>
      <c r="J230" s="409"/>
    </row>
    <row r="231" spans="1:10" ht="12" customHeight="1">
      <c r="A231" s="756"/>
      <c r="B231" s="427" t="s">
        <v>651</v>
      </c>
      <c r="C231" s="432">
        <v>0</v>
      </c>
      <c r="D231" s="432">
        <v>79312</v>
      </c>
      <c r="E231" s="433">
        <v>33785543</v>
      </c>
      <c r="F231"/>
      <c r="G231"/>
      <c r="H231"/>
      <c r="I231" s="474"/>
      <c r="J231" s="409"/>
    </row>
    <row r="232" spans="1:10" ht="12" customHeight="1">
      <c r="A232" s="756"/>
      <c r="B232" s="427" t="s">
        <v>652</v>
      </c>
      <c r="C232" s="432">
        <v>0</v>
      </c>
      <c r="D232" s="432">
        <v>23379</v>
      </c>
      <c r="E232" s="433">
        <v>30543868</v>
      </c>
      <c r="F232"/>
      <c r="G232"/>
      <c r="H232"/>
      <c r="I232" s="474"/>
      <c r="J232" s="409"/>
    </row>
    <row r="233" spans="1:10" ht="12" customHeight="1">
      <c r="A233" s="756"/>
      <c r="B233" s="434" t="s">
        <v>653</v>
      </c>
      <c r="C233" s="435">
        <v>8694</v>
      </c>
      <c r="D233" s="435">
        <v>102691</v>
      </c>
      <c r="E233" s="436">
        <v>33057153</v>
      </c>
      <c r="F233"/>
      <c r="G233"/>
      <c r="H233"/>
      <c r="I233" s="474"/>
      <c r="J233" s="409"/>
    </row>
    <row r="234" spans="1:10" ht="12" customHeight="1">
      <c r="A234" s="756">
        <v>38</v>
      </c>
      <c r="B234" s="428" t="s">
        <v>619</v>
      </c>
      <c r="C234" s="429" t="s">
        <v>53</v>
      </c>
      <c r="D234" s="429" t="s">
        <v>593</v>
      </c>
      <c r="E234" s="430"/>
      <c r="F234"/>
      <c r="G234"/>
      <c r="H234"/>
      <c r="I234" s="474"/>
      <c r="J234" s="409"/>
    </row>
    <row r="235" spans="1:10" ht="12" customHeight="1">
      <c r="A235" s="756"/>
      <c r="B235" s="431" t="s">
        <v>647</v>
      </c>
      <c r="C235" s="432">
        <v>21113</v>
      </c>
      <c r="D235" s="432">
        <v>261533</v>
      </c>
      <c r="E235" s="433">
        <v>41305090</v>
      </c>
      <c r="F235"/>
      <c r="G235"/>
      <c r="H235"/>
      <c r="I235" s="474"/>
      <c r="J235" s="409"/>
    </row>
    <row r="236" spans="1:10" ht="12" customHeight="1">
      <c r="A236" s="756"/>
      <c r="B236" s="431" t="s">
        <v>648</v>
      </c>
      <c r="C236" s="432">
        <v>171</v>
      </c>
      <c r="D236" s="432">
        <v>4620</v>
      </c>
      <c r="E236" s="433">
        <v>24722280</v>
      </c>
      <c r="F236"/>
      <c r="G236"/>
      <c r="H236"/>
      <c r="I236" s="474"/>
      <c r="J236" s="409"/>
    </row>
    <row r="237" spans="1:10" ht="12" customHeight="1">
      <c r="A237" s="756"/>
      <c r="B237" s="434" t="s">
        <v>649</v>
      </c>
      <c r="C237" s="432">
        <v>492</v>
      </c>
      <c r="D237" s="432">
        <v>42218</v>
      </c>
      <c r="E237" s="433">
        <v>67511116</v>
      </c>
      <c r="F237"/>
      <c r="G237"/>
      <c r="H237"/>
      <c r="I237" s="474"/>
      <c r="J237" s="409"/>
    </row>
    <row r="238" spans="1:10" ht="12" customHeight="1">
      <c r="A238" s="756"/>
      <c r="B238" s="434" t="s">
        <v>650</v>
      </c>
      <c r="C238" s="432">
        <v>20792</v>
      </c>
      <c r="D238" s="432">
        <v>223935</v>
      </c>
      <c r="E238" s="433">
        <v>35883913</v>
      </c>
      <c r="F238"/>
      <c r="G238"/>
      <c r="H238"/>
      <c r="I238" s="474"/>
      <c r="J238" s="409"/>
    </row>
    <row r="239" spans="1:10" ht="12" customHeight="1">
      <c r="A239" s="756"/>
      <c r="B239" s="427" t="s">
        <v>651</v>
      </c>
      <c r="C239" s="432">
        <v>0</v>
      </c>
      <c r="D239" s="432">
        <v>244837</v>
      </c>
      <c r="E239" s="433">
        <v>41375557</v>
      </c>
      <c r="F239"/>
      <c r="G239"/>
      <c r="H239"/>
      <c r="I239" s="474"/>
      <c r="J239" s="409"/>
    </row>
    <row r="240" spans="1:10" ht="12" customHeight="1">
      <c r="A240" s="756"/>
      <c r="B240" s="427" t="s">
        <v>652</v>
      </c>
      <c r="C240" s="432">
        <v>0</v>
      </c>
      <c r="D240" s="432">
        <v>21316</v>
      </c>
      <c r="E240" s="433">
        <v>37343189</v>
      </c>
      <c r="F240"/>
      <c r="G240"/>
      <c r="H240"/>
      <c r="I240" s="474"/>
      <c r="J240" s="409"/>
    </row>
    <row r="241" spans="1:10" ht="12" customHeight="1" thickBot="1">
      <c r="A241" s="757"/>
      <c r="B241" s="437" t="s">
        <v>653</v>
      </c>
      <c r="C241" s="438">
        <v>21284</v>
      </c>
      <c r="D241" s="438">
        <v>266153</v>
      </c>
      <c r="E241" s="439">
        <v>41045458</v>
      </c>
      <c r="F241"/>
      <c r="G241"/>
      <c r="H241"/>
      <c r="I241" s="474"/>
      <c r="J241" s="409"/>
    </row>
    <row r="242" spans="1:5" ht="14.25" thickBot="1" thickTop="1">
      <c r="A242" s="411"/>
      <c r="B242" s="412"/>
      <c r="C242" s="413"/>
      <c r="D242" s="413"/>
      <c r="E242" s="413"/>
    </row>
    <row r="243" spans="1:5" ht="12.75" customHeight="1" thickTop="1">
      <c r="A243" s="752" t="s">
        <v>578</v>
      </c>
      <c r="B243" s="447" t="s">
        <v>53</v>
      </c>
      <c r="C243" s="443"/>
      <c r="D243" s="443" t="s">
        <v>579</v>
      </c>
      <c r="E243" s="440" t="s">
        <v>580</v>
      </c>
    </row>
    <row r="244" spans="1:5" ht="12.75">
      <c r="A244" s="753"/>
      <c r="B244" s="448" t="s">
        <v>581</v>
      </c>
      <c r="C244" s="444" t="s">
        <v>582</v>
      </c>
      <c r="D244" s="444" t="s">
        <v>583</v>
      </c>
      <c r="E244" s="441" t="s">
        <v>584</v>
      </c>
    </row>
    <row r="245" spans="1:5" ht="12.75">
      <c r="A245" s="753"/>
      <c r="B245" s="449" t="s">
        <v>585</v>
      </c>
      <c r="C245" s="445" t="s">
        <v>586</v>
      </c>
      <c r="D245" s="445" t="s">
        <v>587</v>
      </c>
      <c r="E245" s="441" t="s">
        <v>588</v>
      </c>
    </row>
    <row r="246" spans="1:5" ht="11.25" customHeight="1">
      <c r="A246" s="758"/>
      <c r="B246" s="451"/>
      <c r="C246" s="445" t="s">
        <v>589</v>
      </c>
      <c r="D246" s="445" t="s">
        <v>590</v>
      </c>
      <c r="E246" s="452" t="s">
        <v>591</v>
      </c>
    </row>
    <row r="247" spans="1:10" ht="12" customHeight="1">
      <c r="A247" s="756">
        <v>39</v>
      </c>
      <c r="B247" s="428" t="s">
        <v>620</v>
      </c>
      <c r="C247" s="429" t="s">
        <v>53</v>
      </c>
      <c r="D247" s="429" t="s">
        <v>593</v>
      </c>
      <c r="E247" s="430"/>
      <c r="F247"/>
      <c r="G247"/>
      <c r="H247"/>
      <c r="I247" s="474"/>
      <c r="J247" s="409"/>
    </row>
    <row r="248" spans="1:10" ht="12" customHeight="1">
      <c r="A248" s="756"/>
      <c r="B248" s="431" t="s">
        <v>647</v>
      </c>
      <c r="C248" s="432">
        <v>13653</v>
      </c>
      <c r="D248" s="432">
        <v>117727</v>
      </c>
      <c r="E248" s="433">
        <v>23369597</v>
      </c>
      <c r="F248"/>
      <c r="G248"/>
      <c r="H248"/>
      <c r="I248" s="474"/>
      <c r="J248" s="409"/>
    </row>
    <row r="249" spans="1:10" ht="12" customHeight="1">
      <c r="A249" s="756"/>
      <c r="B249" s="431" t="s">
        <v>648</v>
      </c>
      <c r="C249" s="432">
        <v>90</v>
      </c>
      <c r="D249" s="432">
        <v>638</v>
      </c>
      <c r="E249" s="433">
        <v>24172659</v>
      </c>
      <c r="F249"/>
      <c r="G249"/>
      <c r="H249"/>
      <c r="I249" s="474"/>
      <c r="J249" s="409"/>
    </row>
    <row r="250" spans="1:10" ht="12" customHeight="1">
      <c r="A250" s="756"/>
      <c r="B250" s="434" t="s">
        <v>649</v>
      </c>
      <c r="C250" s="432">
        <v>18</v>
      </c>
      <c r="D250" s="432">
        <v>669</v>
      </c>
      <c r="E250" s="433">
        <v>39891692</v>
      </c>
      <c r="F250"/>
      <c r="G250"/>
      <c r="H250"/>
      <c r="I250" s="474"/>
      <c r="J250" s="409"/>
    </row>
    <row r="251" spans="1:10" ht="12" customHeight="1">
      <c r="A251" s="756"/>
      <c r="B251" s="434" t="s">
        <v>650</v>
      </c>
      <c r="C251" s="432">
        <v>13725</v>
      </c>
      <c r="D251" s="432">
        <v>117696</v>
      </c>
      <c r="E251" s="433">
        <v>23332935</v>
      </c>
      <c r="F251"/>
      <c r="G251"/>
      <c r="H251"/>
      <c r="I251" s="474"/>
      <c r="J251" s="409"/>
    </row>
    <row r="252" spans="1:10" ht="12" customHeight="1">
      <c r="A252" s="756"/>
      <c r="B252" s="427" t="s">
        <v>651</v>
      </c>
      <c r="C252" s="432">
        <v>0</v>
      </c>
      <c r="D252" s="432">
        <v>97089</v>
      </c>
      <c r="E252" s="433">
        <v>23331231</v>
      </c>
      <c r="F252"/>
      <c r="G252"/>
      <c r="H252"/>
      <c r="I252" s="474"/>
      <c r="J252" s="409"/>
    </row>
    <row r="253" spans="1:10" ht="12" customHeight="1">
      <c r="A253" s="756"/>
      <c r="B253" s="427" t="s">
        <v>652</v>
      </c>
      <c r="C253" s="432">
        <v>0</v>
      </c>
      <c r="D253" s="432">
        <v>21276</v>
      </c>
      <c r="E253" s="433">
        <v>23571287</v>
      </c>
      <c r="F253"/>
      <c r="G253"/>
      <c r="H253"/>
      <c r="I253" s="474"/>
      <c r="J253" s="409"/>
    </row>
    <row r="254" spans="1:10" ht="12" customHeight="1">
      <c r="A254" s="756"/>
      <c r="B254" s="434" t="s">
        <v>653</v>
      </c>
      <c r="C254" s="435">
        <v>13743</v>
      </c>
      <c r="D254" s="435">
        <v>118365</v>
      </c>
      <c r="E254" s="436">
        <v>23373736</v>
      </c>
      <c r="F254"/>
      <c r="G254"/>
      <c r="H254"/>
      <c r="I254" s="474"/>
      <c r="J254" s="409"/>
    </row>
    <row r="255" spans="1:10" ht="12" customHeight="1">
      <c r="A255" s="756">
        <v>40</v>
      </c>
      <c r="B255" s="428" t="s">
        <v>621</v>
      </c>
      <c r="C255" s="429"/>
      <c r="D255" s="429"/>
      <c r="E255" s="430"/>
      <c r="F255"/>
      <c r="G255"/>
      <c r="H255"/>
      <c r="I255" s="474"/>
      <c r="J255" s="409"/>
    </row>
    <row r="256" spans="1:10" ht="12" customHeight="1">
      <c r="A256" s="756"/>
      <c r="B256" s="431" t="s">
        <v>647</v>
      </c>
      <c r="C256" s="432">
        <v>27093</v>
      </c>
      <c r="D256" s="432">
        <v>271930</v>
      </c>
      <c r="E256" s="433">
        <v>45739070</v>
      </c>
      <c r="F256"/>
      <c r="G256"/>
      <c r="H256"/>
      <c r="I256" s="474"/>
      <c r="J256" s="409"/>
    </row>
    <row r="257" spans="1:10" ht="12" customHeight="1">
      <c r="A257" s="756"/>
      <c r="B257" s="431" t="s">
        <v>648</v>
      </c>
      <c r="C257" s="432">
        <v>105984</v>
      </c>
      <c r="D257" s="432">
        <v>790670</v>
      </c>
      <c r="E257" s="433">
        <v>21576139</v>
      </c>
      <c r="F257"/>
      <c r="G257"/>
      <c r="H257"/>
      <c r="I257" s="474"/>
      <c r="J257" s="409"/>
    </row>
    <row r="258" spans="1:10" ht="12" customHeight="1">
      <c r="A258" s="756"/>
      <c r="B258" s="434" t="s">
        <v>649</v>
      </c>
      <c r="C258" s="432">
        <v>3416</v>
      </c>
      <c r="D258" s="432">
        <v>149829</v>
      </c>
      <c r="E258" s="433">
        <v>58596674</v>
      </c>
      <c r="F258"/>
      <c r="G258"/>
      <c r="H258"/>
      <c r="I258" s="474"/>
      <c r="J258" s="409"/>
    </row>
    <row r="259" spans="1:10" ht="12" customHeight="1">
      <c r="A259" s="756"/>
      <c r="B259" s="434" t="s">
        <v>650</v>
      </c>
      <c r="C259" s="432">
        <v>129661</v>
      </c>
      <c r="D259" s="432">
        <v>912771</v>
      </c>
      <c r="E259" s="433">
        <v>22445211</v>
      </c>
      <c r="F259"/>
      <c r="G259"/>
      <c r="H259"/>
      <c r="I259" s="474"/>
      <c r="J259" s="409"/>
    </row>
    <row r="260" spans="1:10" ht="12" customHeight="1">
      <c r="A260" s="756"/>
      <c r="B260" s="427" t="s">
        <v>651</v>
      </c>
      <c r="C260" s="432">
        <v>0</v>
      </c>
      <c r="D260" s="432">
        <v>1020655</v>
      </c>
      <c r="E260" s="433">
        <v>28672222</v>
      </c>
      <c r="F260"/>
      <c r="G260"/>
      <c r="H260"/>
      <c r="I260" s="474"/>
      <c r="J260" s="409"/>
    </row>
    <row r="261" spans="1:10" ht="12" customHeight="1">
      <c r="A261" s="756"/>
      <c r="B261" s="427" t="s">
        <v>652</v>
      </c>
      <c r="C261" s="432">
        <v>0</v>
      </c>
      <c r="D261" s="432">
        <v>41945</v>
      </c>
      <c r="E261" s="433">
        <v>28973591</v>
      </c>
      <c r="F261"/>
      <c r="G261"/>
      <c r="H261"/>
      <c r="I261" s="474"/>
      <c r="J261" s="409"/>
    </row>
    <row r="262" spans="1:10" ht="12" customHeight="1">
      <c r="A262" s="756"/>
      <c r="B262" s="434" t="s">
        <v>653</v>
      </c>
      <c r="C262" s="435">
        <v>133077</v>
      </c>
      <c r="D262" s="435">
        <v>1062600</v>
      </c>
      <c r="E262" s="436">
        <v>28685451</v>
      </c>
      <c r="F262"/>
      <c r="G262"/>
      <c r="H262"/>
      <c r="I262" s="474"/>
      <c r="J262" s="409"/>
    </row>
    <row r="263" spans="1:10" ht="12" customHeight="1">
      <c r="A263" s="756">
        <v>51</v>
      </c>
      <c r="B263" s="428" t="s">
        <v>622</v>
      </c>
      <c r="C263" s="429" t="s">
        <v>53</v>
      </c>
      <c r="D263" s="429" t="s">
        <v>593</v>
      </c>
      <c r="E263" s="430"/>
      <c r="F263"/>
      <c r="G263"/>
      <c r="H263"/>
      <c r="I263" s="474"/>
      <c r="J263" s="409"/>
    </row>
    <row r="264" spans="1:10" ht="12" customHeight="1">
      <c r="A264" s="756"/>
      <c r="B264" s="431" t="s">
        <v>647</v>
      </c>
      <c r="C264" s="432">
        <v>43478</v>
      </c>
      <c r="D264" s="432">
        <v>85937</v>
      </c>
      <c r="E264" s="433">
        <v>34562116</v>
      </c>
      <c r="F264"/>
      <c r="G264"/>
      <c r="H264"/>
      <c r="I264" s="474"/>
      <c r="J264" s="409"/>
    </row>
    <row r="265" spans="1:10" ht="12" customHeight="1">
      <c r="A265" s="756"/>
      <c r="B265" s="431" t="s">
        <v>648</v>
      </c>
      <c r="C265" s="432">
        <v>1173</v>
      </c>
      <c r="D265" s="432">
        <v>13190</v>
      </c>
      <c r="E265" s="433">
        <v>21803054</v>
      </c>
      <c r="F265"/>
      <c r="G265"/>
      <c r="H265"/>
      <c r="I265" s="474"/>
      <c r="J265" s="409"/>
    </row>
    <row r="266" spans="1:10" ht="12" customHeight="1">
      <c r="A266" s="756"/>
      <c r="B266" s="434" t="s">
        <v>649</v>
      </c>
      <c r="C266" s="432">
        <v>914</v>
      </c>
      <c r="D266" s="432">
        <v>22753</v>
      </c>
      <c r="E266" s="433">
        <v>66907614</v>
      </c>
      <c r="F266"/>
      <c r="G266"/>
      <c r="H266"/>
      <c r="I266" s="474"/>
      <c r="J266" s="409"/>
    </row>
    <row r="267" spans="1:10" ht="12" customHeight="1">
      <c r="A267" s="756"/>
      <c r="B267" s="434" t="s">
        <v>650</v>
      </c>
      <c r="C267" s="432">
        <v>43737</v>
      </c>
      <c r="D267" s="432">
        <v>76374</v>
      </c>
      <c r="E267" s="433">
        <v>22586340</v>
      </c>
      <c r="F267"/>
      <c r="G267"/>
      <c r="H267"/>
      <c r="I267" s="474"/>
      <c r="J267" s="409"/>
    </row>
    <row r="268" spans="1:10" ht="12" customHeight="1">
      <c r="A268" s="756"/>
      <c r="B268" s="427" t="s">
        <v>651</v>
      </c>
      <c r="C268" s="432">
        <v>0</v>
      </c>
      <c r="D268" s="432">
        <v>90758</v>
      </c>
      <c r="E268" s="433">
        <v>33618325</v>
      </c>
      <c r="F268"/>
      <c r="G268"/>
      <c r="H268"/>
      <c r="I268" s="474"/>
      <c r="J268" s="409"/>
    </row>
    <row r="269" spans="1:10" ht="12" customHeight="1">
      <c r="A269" s="756"/>
      <c r="B269" s="427" t="s">
        <v>652</v>
      </c>
      <c r="C269" s="432">
        <v>0</v>
      </c>
      <c r="D269" s="432">
        <v>8369</v>
      </c>
      <c r="E269" s="433">
        <v>25075905</v>
      </c>
      <c r="F269"/>
      <c r="G269"/>
      <c r="H269"/>
      <c r="I269" s="474"/>
      <c r="J269" s="409"/>
    </row>
    <row r="270" spans="1:10" ht="12" customHeight="1">
      <c r="A270" s="756"/>
      <c r="B270" s="434" t="s">
        <v>653</v>
      </c>
      <c r="C270" s="435">
        <v>44651</v>
      </c>
      <c r="D270" s="435">
        <v>99127</v>
      </c>
      <c r="E270" s="436">
        <v>32918382</v>
      </c>
      <c r="F270"/>
      <c r="G270"/>
      <c r="H270"/>
      <c r="I270" s="474"/>
      <c r="J270" s="409"/>
    </row>
    <row r="271" spans="1:10" ht="12" customHeight="1">
      <c r="A271" s="756">
        <v>52</v>
      </c>
      <c r="B271" s="428" t="s">
        <v>623</v>
      </c>
      <c r="C271" s="429" t="s">
        <v>53</v>
      </c>
      <c r="D271" s="429" t="s">
        <v>593</v>
      </c>
      <c r="E271" s="430"/>
      <c r="F271"/>
      <c r="G271"/>
      <c r="H271"/>
      <c r="I271" s="474"/>
      <c r="J271" s="409"/>
    </row>
    <row r="272" spans="1:10" ht="12" customHeight="1">
      <c r="A272" s="756"/>
      <c r="B272" s="431" t="s">
        <v>647</v>
      </c>
      <c r="C272" s="432">
        <v>3101</v>
      </c>
      <c r="D272" s="432">
        <v>75109</v>
      </c>
      <c r="E272" s="433">
        <v>41490491</v>
      </c>
      <c r="F272"/>
      <c r="G272"/>
      <c r="H272"/>
      <c r="I272" s="474"/>
      <c r="J272" s="409"/>
    </row>
    <row r="273" spans="1:10" ht="12" customHeight="1">
      <c r="A273" s="756"/>
      <c r="B273" s="431" t="s">
        <v>648</v>
      </c>
      <c r="C273" s="432">
        <v>920</v>
      </c>
      <c r="D273" s="432">
        <v>19487</v>
      </c>
      <c r="E273" s="433">
        <v>24879791</v>
      </c>
      <c r="F273"/>
      <c r="G273"/>
      <c r="H273"/>
      <c r="I273" s="474"/>
      <c r="J273" s="409"/>
    </row>
    <row r="274" spans="1:10" ht="12" customHeight="1">
      <c r="A274" s="756"/>
      <c r="B274" s="434" t="s">
        <v>649</v>
      </c>
      <c r="C274" s="432">
        <v>2488</v>
      </c>
      <c r="D274" s="432">
        <v>73215</v>
      </c>
      <c r="E274" s="433">
        <v>42139638</v>
      </c>
      <c r="F274"/>
      <c r="G274"/>
      <c r="H274"/>
      <c r="I274" s="474"/>
      <c r="J274" s="409"/>
    </row>
    <row r="275" spans="1:10" ht="12" customHeight="1">
      <c r="A275" s="756"/>
      <c r="B275" s="434" t="s">
        <v>650</v>
      </c>
      <c r="C275" s="432">
        <v>1533</v>
      </c>
      <c r="D275" s="432">
        <v>21381</v>
      </c>
      <c r="E275" s="433">
        <v>23804313</v>
      </c>
      <c r="F275"/>
      <c r="G275"/>
      <c r="H275"/>
      <c r="I275" s="474"/>
      <c r="J275" s="409"/>
    </row>
    <row r="276" spans="1:10" ht="12" customHeight="1">
      <c r="A276" s="756"/>
      <c r="B276" s="427" t="s">
        <v>651</v>
      </c>
      <c r="C276" s="432">
        <v>0</v>
      </c>
      <c r="D276" s="432">
        <v>87981</v>
      </c>
      <c r="E276" s="433">
        <v>38489485</v>
      </c>
      <c r="F276"/>
      <c r="G276"/>
      <c r="H276"/>
      <c r="I276" s="474"/>
      <c r="J276" s="409"/>
    </row>
    <row r="277" spans="1:10" ht="12" customHeight="1">
      <c r="A277" s="756"/>
      <c r="B277" s="427" t="s">
        <v>652</v>
      </c>
      <c r="C277" s="432">
        <v>0</v>
      </c>
      <c r="D277" s="432">
        <v>6615</v>
      </c>
      <c r="E277" s="433">
        <v>34647395</v>
      </c>
      <c r="F277"/>
      <c r="G277"/>
      <c r="H277"/>
      <c r="I277" s="474"/>
      <c r="J277" s="409"/>
    </row>
    <row r="278" spans="1:10" ht="12" customHeight="1">
      <c r="A278" s="756"/>
      <c r="B278" s="434" t="s">
        <v>653</v>
      </c>
      <c r="C278" s="435">
        <v>4021</v>
      </c>
      <c r="D278" s="435">
        <v>94596</v>
      </c>
      <c r="E278" s="436">
        <v>38223807</v>
      </c>
      <c r="F278"/>
      <c r="G278"/>
      <c r="H278"/>
      <c r="I278" s="474"/>
      <c r="J278" s="409"/>
    </row>
    <row r="279" spans="1:10" ht="12" customHeight="1">
      <c r="A279" s="756">
        <v>61</v>
      </c>
      <c r="B279" s="428" t="s">
        <v>624</v>
      </c>
      <c r="C279" s="429" t="s">
        <v>53</v>
      </c>
      <c r="D279" s="429" t="s">
        <v>593</v>
      </c>
      <c r="E279" s="430"/>
      <c r="F279"/>
      <c r="G279"/>
      <c r="H279"/>
      <c r="I279" s="474"/>
      <c r="J279" s="409"/>
    </row>
    <row r="280" spans="1:10" ht="12" customHeight="1">
      <c r="A280" s="756"/>
      <c r="B280" s="431" t="s">
        <v>647</v>
      </c>
      <c r="C280" s="432">
        <v>242158</v>
      </c>
      <c r="D280" s="432">
        <v>971744</v>
      </c>
      <c r="E280" s="433">
        <v>24427011</v>
      </c>
      <c r="F280"/>
      <c r="G280"/>
      <c r="H280"/>
      <c r="I280" s="474"/>
      <c r="J280" s="409"/>
    </row>
    <row r="281" spans="1:10" ht="12" customHeight="1">
      <c r="A281" s="756"/>
      <c r="B281" s="431" t="s">
        <v>648</v>
      </c>
      <c r="C281" s="432">
        <v>760</v>
      </c>
      <c r="D281" s="432">
        <v>2412</v>
      </c>
      <c r="E281" s="433">
        <v>21408278</v>
      </c>
      <c r="F281"/>
      <c r="G281"/>
      <c r="H281"/>
      <c r="I281" s="474"/>
      <c r="J281" s="409"/>
    </row>
    <row r="282" spans="1:10" ht="12" customHeight="1">
      <c r="A282" s="756"/>
      <c r="B282" s="434" t="s">
        <v>649</v>
      </c>
      <c r="C282" s="432">
        <v>282</v>
      </c>
      <c r="D282" s="432">
        <v>3147</v>
      </c>
      <c r="E282" s="433">
        <v>54132444</v>
      </c>
      <c r="F282"/>
      <c r="G282"/>
      <c r="H282"/>
      <c r="I282" s="474"/>
      <c r="J282" s="409"/>
    </row>
    <row r="283" spans="1:10" ht="12" customHeight="1">
      <c r="A283" s="756"/>
      <c r="B283" s="434" t="s">
        <v>650</v>
      </c>
      <c r="C283" s="432">
        <v>242636</v>
      </c>
      <c r="D283" s="432">
        <v>971009</v>
      </c>
      <c r="E283" s="433">
        <v>24324940</v>
      </c>
      <c r="F283"/>
      <c r="G283"/>
      <c r="H283"/>
      <c r="I283" s="474"/>
      <c r="J283" s="409"/>
    </row>
    <row r="284" spans="1:10" ht="12" customHeight="1">
      <c r="A284" s="756"/>
      <c r="B284" s="427" t="s">
        <v>651</v>
      </c>
      <c r="C284" s="432">
        <v>0</v>
      </c>
      <c r="D284" s="432">
        <v>713282</v>
      </c>
      <c r="E284" s="433">
        <v>24069260</v>
      </c>
      <c r="F284"/>
      <c r="G284"/>
      <c r="H284"/>
      <c r="I284" s="474"/>
      <c r="J284" s="409"/>
    </row>
    <row r="285" spans="1:10" ht="12" customHeight="1">
      <c r="A285" s="756"/>
      <c r="B285" s="427" t="s">
        <v>652</v>
      </c>
      <c r="C285" s="432">
        <v>0</v>
      </c>
      <c r="D285" s="432">
        <v>260874</v>
      </c>
      <c r="E285" s="433">
        <v>25399305</v>
      </c>
      <c r="F285"/>
      <c r="G285"/>
      <c r="H285"/>
      <c r="I285" s="474"/>
      <c r="J285" s="409"/>
    </row>
    <row r="286" spans="1:10" ht="12" customHeight="1">
      <c r="A286" s="756"/>
      <c r="B286" s="434" t="s">
        <v>653</v>
      </c>
      <c r="C286" s="435">
        <v>242918</v>
      </c>
      <c r="D286" s="435">
        <v>974156</v>
      </c>
      <c r="E286" s="436">
        <v>24420005</v>
      </c>
      <c r="F286"/>
      <c r="G286"/>
      <c r="H286"/>
      <c r="I286" s="474"/>
      <c r="J286" s="409"/>
    </row>
    <row r="287" spans="1:10" ht="12" customHeight="1">
      <c r="A287" s="756">
        <v>62</v>
      </c>
      <c r="B287" s="428" t="s">
        <v>625</v>
      </c>
      <c r="C287" s="429" t="s">
        <v>53</v>
      </c>
      <c r="D287" s="429" t="s">
        <v>593</v>
      </c>
      <c r="E287" s="430"/>
      <c r="F287"/>
      <c r="G287"/>
      <c r="H287"/>
      <c r="I287" s="474"/>
      <c r="J287" s="409"/>
    </row>
    <row r="288" spans="1:10" ht="12" customHeight="1">
      <c r="A288" s="756"/>
      <c r="B288" s="431" t="s">
        <v>647</v>
      </c>
      <c r="C288" s="432">
        <v>7311</v>
      </c>
      <c r="D288" s="432">
        <v>69021</v>
      </c>
      <c r="E288" s="433">
        <v>61406141</v>
      </c>
      <c r="F288"/>
      <c r="G288"/>
      <c r="H288"/>
      <c r="I288" s="474"/>
      <c r="J288" s="409"/>
    </row>
    <row r="289" spans="1:10" ht="12" customHeight="1">
      <c r="A289" s="756"/>
      <c r="B289" s="431" t="s">
        <v>648</v>
      </c>
      <c r="C289" s="432">
        <v>27</v>
      </c>
      <c r="D289" s="432">
        <v>70</v>
      </c>
      <c r="E289" s="433">
        <v>35408123</v>
      </c>
      <c r="F289"/>
      <c r="G289"/>
      <c r="H289"/>
      <c r="I289" s="474"/>
      <c r="J289" s="409"/>
    </row>
    <row r="290" spans="1:10" ht="12" customHeight="1">
      <c r="A290" s="756"/>
      <c r="B290" s="434" t="s">
        <v>649</v>
      </c>
      <c r="C290" s="432">
        <v>306</v>
      </c>
      <c r="D290" s="432">
        <v>2330</v>
      </c>
      <c r="E290" s="433">
        <v>64939591</v>
      </c>
      <c r="F290"/>
      <c r="G290"/>
      <c r="H290"/>
      <c r="I290" s="474"/>
      <c r="J290" s="409"/>
    </row>
    <row r="291" spans="1:10" ht="12" customHeight="1">
      <c r="A291" s="756"/>
      <c r="B291" s="434" t="s">
        <v>650</v>
      </c>
      <c r="C291" s="432">
        <v>7032</v>
      </c>
      <c r="D291" s="432">
        <v>66761</v>
      </c>
      <c r="E291" s="433">
        <v>61254026</v>
      </c>
      <c r="F291"/>
      <c r="G291"/>
      <c r="H291"/>
      <c r="I291" s="474"/>
      <c r="J291" s="409"/>
    </row>
    <row r="292" spans="1:10" ht="12" customHeight="1">
      <c r="A292" s="756"/>
      <c r="B292" s="427" t="s">
        <v>651</v>
      </c>
      <c r="C292" s="432">
        <v>0</v>
      </c>
      <c r="D292" s="432">
        <v>39887</v>
      </c>
      <c r="E292" s="433">
        <v>60148505</v>
      </c>
      <c r="F292"/>
      <c r="G292"/>
      <c r="H292"/>
      <c r="I292" s="474"/>
      <c r="J292" s="409"/>
    </row>
    <row r="293" spans="1:10" ht="12" customHeight="1">
      <c r="A293" s="756"/>
      <c r="B293" s="427" t="s">
        <v>652</v>
      </c>
      <c r="C293" s="432">
        <v>0</v>
      </c>
      <c r="D293" s="432">
        <v>29204</v>
      </c>
      <c r="E293" s="433">
        <v>63071679</v>
      </c>
      <c r="F293"/>
      <c r="G293"/>
      <c r="H293"/>
      <c r="I293" s="474"/>
      <c r="J293" s="409"/>
    </row>
    <row r="294" spans="1:10" ht="12" customHeight="1">
      <c r="A294" s="756"/>
      <c r="B294" s="434" t="s">
        <v>653</v>
      </c>
      <c r="C294" s="435">
        <v>7338</v>
      </c>
      <c r="D294" s="435">
        <v>69091</v>
      </c>
      <c r="E294" s="436">
        <v>61380191</v>
      </c>
      <c r="F294"/>
      <c r="G294"/>
      <c r="H294"/>
      <c r="I294" s="474"/>
      <c r="J294" s="409"/>
    </row>
    <row r="295" spans="1:10" ht="12" customHeight="1">
      <c r="A295" s="756">
        <v>63</v>
      </c>
      <c r="B295" s="428" t="s">
        <v>626</v>
      </c>
      <c r="C295" s="429" t="s">
        <v>53</v>
      </c>
      <c r="D295" s="429" t="s">
        <v>593</v>
      </c>
      <c r="E295" s="430"/>
      <c r="F295"/>
      <c r="G295"/>
      <c r="H295"/>
      <c r="I295" s="474"/>
      <c r="J295" s="409"/>
    </row>
    <row r="296" spans="1:10" ht="12" customHeight="1">
      <c r="A296" s="756"/>
      <c r="B296" s="431" t="s">
        <v>647</v>
      </c>
      <c r="C296" s="432">
        <v>6782</v>
      </c>
      <c r="D296" s="432">
        <v>31862</v>
      </c>
      <c r="E296" s="433">
        <v>40511021</v>
      </c>
      <c r="F296"/>
      <c r="G296"/>
      <c r="H296"/>
      <c r="I296" s="474"/>
      <c r="J296" s="409"/>
    </row>
    <row r="297" spans="1:10" ht="12" customHeight="1">
      <c r="A297" s="756"/>
      <c r="B297" s="431" t="s">
        <v>648</v>
      </c>
      <c r="C297" s="432">
        <v>3</v>
      </c>
      <c r="D297" s="432">
        <v>5</v>
      </c>
      <c r="E297" s="433">
        <v>17700000</v>
      </c>
      <c r="F297"/>
      <c r="G297"/>
      <c r="H297"/>
      <c r="I297" s="474"/>
      <c r="J297" s="409"/>
    </row>
    <row r="298" spans="1:10" ht="12" customHeight="1">
      <c r="A298" s="756"/>
      <c r="B298" s="434" t="s">
        <v>649</v>
      </c>
      <c r="C298" s="432">
        <v>9</v>
      </c>
      <c r="D298" s="432">
        <v>57</v>
      </c>
      <c r="E298" s="433">
        <v>61851830</v>
      </c>
      <c r="F298"/>
      <c r="G298"/>
      <c r="H298"/>
      <c r="I298" s="474"/>
      <c r="J298" s="409"/>
    </row>
    <row r="299" spans="1:10" ht="12" customHeight="1">
      <c r="A299" s="756"/>
      <c r="B299" s="434" t="s">
        <v>650</v>
      </c>
      <c r="C299" s="432">
        <v>6776</v>
      </c>
      <c r="D299" s="432">
        <v>31810</v>
      </c>
      <c r="E299" s="433">
        <v>40467260</v>
      </c>
      <c r="F299"/>
      <c r="G299"/>
      <c r="H299"/>
      <c r="I299" s="474"/>
      <c r="J299" s="409"/>
    </row>
    <row r="300" spans="1:10" ht="12" customHeight="1">
      <c r="A300" s="756"/>
      <c r="B300" s="427" t="s">
        <v>651</v>
      </c>
      <c r="C300" s="432">
        <v>0</v>
      </c>
      <c r="D300" s="432">
        <v>16005</v>
      </c>
      <c r="E300" s="433">
        <v>40273149</v>
      </c>
      <c r="F300"/>
      <c r="G300"/>
      <c r="H300"/>
      <c r="I300" s="474"/>
      <c r="J300" s="409"/>
    </row>
    <row r="301" spans="1:10" ht="12" customHeight="1">
      <c r="A301" s="756"/>
      <c r="B301" s="427" t="s">
        <v>652</v>
      </c>
      <c r="C301" s="432">
        <v>0</v>
      </c>
      <c r="D301" s="432">
        <v>15862</v>
      </c>
      <c r="E301" s="433">
        <v>40743776</v>
      </c>
      <c r="F301"/>
      <c r="G301"/>
      <c r="H301"/>
      <c r="I301" s="474"/>
      <c r="J301" s="409"/>
    </row>
    <row r="302" spans="1:10" ht="12" customHeight="1" thickBot="1">
      <c r="A302" s="757"/>
      <c r="B302" s="437" t="s">
        <v>653</v>
      </c>
      <c r="C302" s="438">
        <v>6785</v>
      </c>
      <c r="D302" s="438">
        <v>31867</v>
      </c>
      <c r="E302" s="439">
        <v>40507245</v>
      </c>
      <c r="F302"/>
      <c r="G302"/>
      <c r="H302"/>
      <c r="I302" s="474"/>
      <c r="J302" s="409"/>
    </row>
    <row r="303" spans="1:10" ht="14.25" thickBot="1" thickTop="1">
      <c r="A303" s="411"/>
      <c r="B303" s="412"/>
      <c r="C303" s="418"/>
      <c r="D303" s="418"/>
      <c r="E303" s="419" t="s">
        <v>53</v>
      </c>
      <c r="J303" s="409"/>
    </row>
    <row r="304" spans="1:10" ht="12.75" customHeight="1" thickTop="1">
      <c r="A304" s="752" t="s">
        <v>578</v>
      </c>
      <c r="B304" s="447" t="s">
        <v>53</v>
      </c>
      <c r="C304" s="443"/>
      <c r="D304" s="443" t="s">
        <v>579</v>
      </c>
      <c r="E304" s="440" t="s">
        <v>580</v>
      </c>
      <c r="J304" s="409"/>
    </row>
    <row r="305" spans="1:10" ht="12.75">
      <c r="A305" s="753"/>
      <c r="B305" s="448" t="s">
        <v>581</v>
      </c>
      <c r="C305" s="444" t="s">
        <v>582</v>
      </c>
      <c r="D305" s="444" t="s">
        <v>583</v>
      </c>
      <c r="E305" s="441" t="s">
        <v>584</v>
      </c>
      <c r="J305" s="409"/>
    </row>
    <row r="306" spans="1:10" ht="12.75">
      <c r="A306" s="753"/>
      <c r="B306" s="449" t="s">
        <v>585</v>
      </c>
      <c r="C306" s="445" t="s">
        <v>586</v>
      </c>
      <c r="D306" s="445" t="s">
        <v>587</v>
      </c>
      <c r="E306" s="441" t="s">
        <v>588</v>
      </c>
      <c r="J306" s="409"/>
    </row>
    <row r="307" spans="1:10" ht="11.25" customHeight="1">
      <c r="A307" s="758"/>
      <c r="B307" s="451"/>
      <c r="C307" s="445" t="s">
        <v>589</v>
      </c>
      <c r="D307" s="445" t="s">
        <v>590</v>
      </c>
      <c r="E307" s="452" t="s">
        <v>591</v>
      </c>
      <c r="J307" s="409"/>
    </row>
    <row r="308" spans="1:10" ht="12" customHeight="1">
      <c r="A308" s="756">
        <v>64</v>
      </c>
      <c r="B308" s="428" t="s">
        <v>627</v>
      </c>
      <c r="C308" s="429" t="s">
        <v>53</v>
      </c>
      <c r="D308" s="429" t="s">
        <v>593</v>
      </c>
      <c r="E308" s="430"/>
      <c r="F308"/>
      <c r="G308"/>
      <c r="H308"/>
      <c r="I308" s="474"/>
      <c r="J308" s="409"/>
    </row>
    <row r="309" spans="1:10" ht="12" customHeight="1">
      <c r="A309" s="756"/>
      <c r="B309" s="431" t="s">
        <v>647</v>
      </c>
      <c r="C309" s="432">
        <v>3082</v>
      </c>
      <c r="D309" s="432">
        <v>9554</v>
      </c>
      <c r="E309" s="433">
        <v>24738797</v>
      </c>
      <c r="F309"/>
      <c r="G309"/>
      <c r="H309"/>
      <c r="I309" s="474"/>
      <c r="J309" s="409"/>
    </row>
    <row r="310" spans="1:10" ht="12" customHeight="1">
      <c r="A310" s="756"/>
      <c r="B310" s="431" t="s">
        <v>648</v>
      </c>
      <c r="C310" s="432">
        <v>14</v>
      </c>
      <c r="D310" s="432">
        <v>52</v>
      </c>
      <c r="E310" s="433">
        <v>20689144</v>
      </c>
      <c r="F310"/>
      <c r="G310"/>
      <c r="H310"/>
      <c r="I310" s="474"/>
      <c r="J310" s="409"/>
    </row>
    <row r="311" spans="1:10" ht="12" customHeight="1">
      <c r="A311" s="756"/>
      <c r="B311" s="434" t="s">
        <v>649</v>
      </c>
      <c r="C311" s="432">
        <v>2</v>
      </c>
      <c r="D311" s="432">
        <v>45</v>
      </c>
      <c r="E311" s="433">
        <v>53077951</v>
      </c>
      <c r="F311"/>
      <c r="G311"/>
      <c r="H311"/>
      <c r="I311" s="474"/>
      <c r="J311" s="409"/>
    </row>
    <row r="312" spans="1:10" ht="12" customHeight="1">
      <c r="A312" s="756"/>
      <c r="B312" s="434" t="s">
        <v>650</v>
      </c>
      <c r="C312" s="432">
        <v>3094</v>
      </c>
      <c r="D312" s="432">
        <v>9561</v>
      </c>
      <c r="E312" s="433">
        <v>24570539</v>
      </c>
      <c r="F312"/>
      <c r="G312"/>
      <c r="H312"/>
      <c r="I312" s="474"/>
      <c r="J312" s="409"/>
    </row>
    <row r="313" spans="1:10" ht="12" customHeight="1">
      <c r="A313" s="756"/>
      <c r="B313" s="427" t="s">
        <v>651</v>
      </c>
      <c r="C313" s="432">
        <v>0</v>
      </c>
      <c r="D313" s="432">
        <v>6652</v>
      </c>
      <c r="E313" s="433">
        <v>24686285</v>
      </c>
      <c r="F313"/>
      <c r="G313"/>
      <c r="H313"/>
      <c r="I313" s="474"/>
      <c r="J313" s="409"/>
    </row>
    <row r="314" spans="1:10" ht="12" customHeight="1">
      <c r="A314" s="756"/>
      <c r="B314" s="427" t="s">
        <v>652</v>
      </c>
      <c r="C314" s="432">
        <v>0</v>
      </c>
      <c r="D314" s="432">
        <v>2954</v>
      </c>
      <c r="E314" s="433">
        <v>24783985</v>
      </c>
      <c r="F314"/>
      <c r="G314"/>
      <c r="H314"/>
      <c r="I314" s="474"/>
      <c r="J314" s="409"/>
    </row>
    <row r="315" spans="1:10" ht="12" customHeight="1">
      <c r="A315" s="756"/>
      <c r="B315" s="434" t="s">
        <v>653</v>
      </c>
      <c r="C315" s="435">
        <v>3096</v>
      </c>
      <c r="D315" s="435">
        <v>9606</v>
      </c>
      <c r="E315" s="436">
        <v>24716041</v>
      </c>
      <c r="F315"/>
      <c r="G315"/>
      <c r="H315"/>
      <c r="I315" s="474"/>
      <c r="J315" s="409"/>
    </row>
    <row r="316" spans="1:10" ht="12" customHeight="1">
      <c r="A316" s="756">
        <v>71</v>
      </c>
      <c r="B316" s="428" t="s">
        <v>628</v>
      </c>
      <c r="C316" s="429" t="s">
        <v>53</v>
      </c>
      <c r="D316" s="429" t="s">
        <v>593</v>
      </c>
      <c r="E316" s="430"/>
      <c r="F316"/>
      <c r="G316"/>
      <c r="H316"/>
      <c r="I316" s="474"/>
      <c r="J316" s="409"/>
    </row>
    <row r="317" spans="1:10" ht="12" customHeight="1">
      <c r="A317" s="756"/>
      <c r="B317" s="431" t="s">
        <v>647</v>
      </c>
      <c r="C317" s="432">
        <v>73502</v>
      </c>
      <c r="D317" s="432">
        <v>423233</v>
      </c>
      <c r="E317" s="433">
        <v>29164581</v>
      </c>
      <c r="F317"/>
      <c r="G317"/>
      <c r="H317"/>
      <c r="I317" s="474"/>
      <c r="J317" s="409"/>
    </row>
    <row r="318" spans="1:10" ht="12" customHeight="1">
      <c r="A318" s="756"/>
      <c r="B318" s="431" t="s">
        <v>648</v>
      </c>
      <c r="C318" s="432">
        <v>3783</v>
      </c>
      <c r="D318" s="432">
        <v>67190</v>
      </c>
      <c r="E318" s="433">
        <v>23758746</v>
      </c>
      <c r="F318"/>
      <c r="G318"/>
      <c r="H318"/>
      <c r="I318" s="474"/>
      <c r="J318" s="409"/>
    </row>
    <row r="319" spans="1:10" ht="12" customHeight="1">
      <c r="A319" s="756"/>
      <c r="B319" s="434" t="s">
        <v>649</v>
      </c>
      <c r="C319" s="432">
        <v>1306</v>
      </c>
      <c r="D319" s="432">
        <v>33747</v>
      </c>
      <c r="E319" s="433">
        <v>62338441</v>
      </c>
      <c r="F319"/>
      <c r="G319"/>
      <c r="H319"/>
      <c r="I319" s="474"/>
      <c r="J319" s="409"/>
    </row>
    <row r="320" spans="1:10" ht="12" customHeight="1">
      <c r="A320" s="756"/>
      <c r="B320" s="434" t="s">
        <v>650</v>
      </c>
      <c r="C320" s="432">
        <v>75979</v>
      </c>
      <c r="D320" s="432">
        <v>456676</v>
      </c>
      <c r="E320" s="433">
        <v>25727525</v>
      </c>
      <c r="F320"/>
      <c r="G320"/>
      <c r="H320"/>
      <c r="I320" s="474"/>
      <c r="J320" s="409"/>
    </row>
    <row r="321" spans="1:10" ht="12" customHeight="1">
      <c r="A321" s="756"/>
      <c r="B321" s="427" t="s">
        <v>651</v>
      </c>
      <c r="C321" s="432">
        <v>0</v>
      </c>
      <c r="D321" s="432">
        <v>435963</v>
      </c>
      <c r="E321" s="433">
        <v>28034590</v>
      </c>
      <c r="F321"/>
      <c r="G321"/>
      <c r="H321"/>
      <c r="I321" s="474"/>
      <c r="J321" s="409"/>
    </row>
    <row r="322" spans="1:10" ht="12" customHeight="1">
      <c r="A322" s="756"/>
      <c r="B322" s="427" t="s">
        <v>652</v>
      </c>
      <c r="C322" s="432">
        <v>0</v>
      </c>
      <c r="D322" s="432">
        <v>54460</v>
      </c>
      <c r="E322" s="433">
        <v>31754529</v>
      </c>
      <c r="F322"/>
      <c r="G322"/>
      <c r="H322"/>
      <c r="I322" s="474"/>
      <c r="J322" s="409"/>
    </row>
    <row r="323" spans="1:10" ht="12" customHeight="1">
      <c r="A323" s="756"/>
      <c r="B323" s="434" t="s">
        <v>653</v>
      </c>
      <c r="C323" s="435">
        <v>77285</v>
      </c>
      <c r="D323" s="435">
        <v>490423</v>
      </c>
      <c r="E323" s="436">
        <v>28444168</v>
      </c>
      <c r="F323"/>
      <c r="G323"/>
      <c r="H323"/>
      <c r="I323" s="474"/>
      <c r="J323" s="409"/>
    </row>
    <row r="324" spans="1:10" ht="12" customHeight="1">
      <c r="A324" s="756">
        <v>72</v>
      </c>
      <c r="B324" s="428" t="s">
        <v>629</v>
      </c>
      <c r="C324" s="429" t="s">
        <v>53</v>
      </c>
      <c r="D324" s="429" t="s">
        <v>593</v>
      </c>
      <c r="E324" s="430"/>
      <c r="F324"/>
      <c r="G324"/>
      <c r="H324"/>
      <c r="I324" s="474"/>
      <c r="J324" s="409"/>
    </row>
    <row r="325" spans="1:10" ht="12" customHeight="1">
      <c r="A325" s="756"/>
      <c r="B325" s="431" t="s">
        <v>647</v>
      </c>
      <c r="C325" s="432">
        <v>3070</v>
      </c>
      <c r="D325" s="432">
        <v>38849</v>
      </c>
      <c r="E325" s="433">
        <v>33330945</v>
      </c>
      <c r="F325"/>
      <c r="G325"/>
      <c r="H325"/>
      <c r="I325" s="474"/>
      <c r="J325" s="409"/>
    </row>
    <row r="326" spans="1:10" ht="12" customHeight="1">
      <c r="A326" s="756"/>
      <c r="B326" s="431" t="s">
        <v>648</v>
      </c>
      <c r="C326" s="432">
        <v>30</v>
      </c>
      <c r="D326" s="432">
        <v>564</v>
      </c>
      <c r="E326" s="433">
        <v>29332082</v>
      </c>
      <c r="F326"/>
      <c r="G326"/>
      <c r="H326"/>
      <c r="I326" s="474"/>
      <c r="J326" s="409"/>
    </row>
    <row r="327" spans="1:10" ht="12" customHeight="1">
      <c r="A327" s="756"/>
      <c r="B327" s="434" t="s">
        <v>649</v>
      </c>
      <c r="C327" s="432">
        <v>132</v>
      </c>
      <c r="D327" s="432">
        <v>2396</v>
      </c>
      <c r="E327" s="433">
        <v>52432826</v>
      </c>
      <c r="F327"/>
      <c r="G327"/>
      <c r="H327"/>
      <c r="I327" s="474"/>
      <c r="J327" s="409"/>
    </row>
    <row r="328" spans="1:10" ht="12" customHeight="1">
      <c r="A328" s="756"/>
      <c r="B328" s="434" t="s">
        <v>650</v>
      </c>
      <c r="C328" s="432">
        <v>2968</v>
      </c>
      <c r="D328" s="432">
        <v>37017</v>
      </c>
      <c r="E328" s="433">
        <v>31989602</v>
      </c>
      <c r="F328"/>
      <c r="G328"/>
      <c r="H328"/>
      <c r="I328" s="474"/>
      <c r="J328" s="409"/>
    </row>
    <row r="329" spans="1:10" ht="12" customHeight="1">
      <c r="A329" s="756"/>
      <c r="B329" s="427" t="s">
        <v>651</v>
      </c>
      <c r="C329" s="432">
        <v>0</v>
      </c>
      <c r="D329" s="432">
        <v>31474</v>
      </c>
      <c r="E329" s="433">
        <v>34128600</v>
      </c>
      <c r="F329"/>
      <c r="G329"/>
      <c r="H329"/>
      <c r="I329" s="474"/>
      <c r="J329" s="409"/>
    </row>
    <row r="330" spans="1:10" ht="12" customHeight="1">
      <c r="A330" s="756"/>
      <c r="B330" s="427" t="s">
        <v>652</v>
      </c>
      <c r="C330" s="432">
        <v>0</v>
      </c>
      <c r="D330" s="432">
        <v>7939</v>
      </c>
      <c r="E330" s="433">
        <v>29663684</v>
      </c>
      <c r="F330"/>
      <c r="G330"/>
      <c r="H330"/>
      <c r="I330" s="474"/>
      <c r="J330" s="409"/>
    </row>
    <row r="331" spans="1:10" ht="12" customHeight="1">
      <c r="A331" s="756"/>
      <c r="B331" s="434" t="s">
        <v>653</v>
      </c>
      <c r="C331" s="435">
        <v>3100</v>
      </c>
      <c r="D331" s="435">
        <v>39413</v>
      </c>
      <c r="E331" s="436">
        <v>33274163</v>
      </c>
      <c r="F331"/>
      <c r="G331"/>
      <c r="H331"/>
      <c r="I331" s="474"/>
      <c r="J331" s="409"/>
    </row>
    <row r="332" spans="1:10" ht="12" customHeight="1">
      <c r="A332" s="756">
        <v>73</v>
      </c>
      <c r="B332" s="428" t="s">
        <v>630</v>
      </c>
      <c r="C332" s="429" t="s">
        <v>53</v>
      </c>
      <c r="D332" s="429" t="s">
        <v>593</v>
      </c>
      <c r="E332" s="430"/>
      <c r="F332"/>
      <c r="G332"/>
      <c r="H332"/>
      <c r="I332" s="474"/>
      <c r="J332" s="409"/>
    </row>
    <row r="333" spans="1:10" ht="12" customHeight="1">
      <c r="A333" s="756"/>
      <c r="B333" s="431" t="s">
        <v>647</v>
      </c>
      <c r="C333" s="432">
        <v>999</v>
      </c>
      <c r="D333" s="432">
        <v>7754</v>
      </c>
      <c r="E333" s="433">
        <v>46468645</v>
      </c>
      <c r="F333"/>
      <c r="G333"/>
      <c r="H333"/>
      <c r="I333" s="474"/>
      <c r="J333" s="409"/>
    </row>
    <row r="334" spans="1:10" ht="12" customHeight="1">
      <c r="A334" s="756"/>
      <c r="B334" s="431" t="s">
        <v>648</v>
      </c>
      <c r="C334" s="432">
        <v>75</v>
      </c>
      <c r="D334" s="432">
        <v>3184</v>
      </c>
      <c r="E334" s="433">
        <v>27744538</v>
      </c>
      <c r="F334"/>
      <c r="G334"/>
      <c r="H334"/>
      <c r="I334" s="474"/>
      <c r="J334" s="409"/>
    </row>
    <row r="335" spans="1:10" ht="12" customHeight="1">
      <c r="A335" s="756"/>
      <c r="B335" s="434" t="s">
        <v>649</v>
      </c>
      <c r="C335" s="432">
        <v>67</v>
      </c>
      <c r="D335" s="432">
        <v>798</v>
      </c>
      <c r="E335" s="433">
        <v>81624340</v>
      </c>
      <c r="F335"/>
      <c r="G335"/>
      <c r="H335"/>
      <c r="I335" s="474"/>
      <c r="J335" s="409"/>
    </row>
    <row r="336" spans="1:10" ht="12" customHeight="1">
      <c r="A336" s="756"/>
      <c r="B336" s="434" t="s">
        <v>650</v>
      </c>
      <c r="C336" s="432">
        <v>1007</v>
      </c>
      <c r="D336" s="432">
        <v>10140</v>
      </c>
      <c r="E336" s="433">
        <v>38401515</v>
      </c>
      <c r="F336"/>
      <c r="G336"/>
      <c r="H336"/>
      <c r="I336" s="474"/>
      <c r="J336" s="409"/>
    </row>
    <row r="337" spans="1:10" ht="12" customHeight="1">
      <c r="A337" s="756"/>
      <c r="B337" s="427" t="s">
        <v>651</v>
      </c>
      <c r="C337" s="432">
        <v>0</v>
      </c>
      <c r="D337" s="432">
        <v>8307</v>
      </c>
      <c r="E337" s="433">
        <v>41908537</v>
      </c>
      <c r="F337"/>
      <c r="G337"/>
      <c r="H337"/>
      <c r="I337" s="474"/>
      <c r="J337" s="409"/>
    </row>
    <row r="338" spans="1:10" ht="12" customHeight="1">
      <c r="A338" s="756"/>
      <c r="B338" s="427" t="s">
        <v>652</v>
      </c>
      <c r="C338" s="432">
        <v>0</v>
      </c>
      <c r="D338" s="432">
        <v>2631</v>
      </c>
      <c r="E338" s="433">
        <v>41869559</v>
      </c>
      <c r="F338"/>
      <c r="G338"/>
      <c r="H338"/>
      <c r="I338" s="474"/>
      <c r="J338" s="409"/>
    </row>
    <row r="339" spans="1:10" ht="12" customHeight="1">
      <c r="A339" s="756"/>
      <c r="B339" s="434" t="s">
        <v>653</v>
      </c>
      <c r="C339" s="435">
        <v>1074</v>
      </c>
      <c r="D339" s="435">
        <v>10938</v>
      </c>
      <c r="E339" s="436">
        <v>41899117</v>
      </c>
      <c r="F339"/>
      <c r="G339"/>
      <c r="H339"/>
      <c r="I339" s="474"/>
      <c r="J339" s="409"/>
    </row>
    <row r="340" spans="1:10" ht="12" customHeight="1">
      <c r="A340" s="756">
        <v>81</v>
      </c>
      <c r="B340" s="428" t="s">
        <v>631</v>
      </c>
      <c r="C340" s="429" t="s">
        <v>53</v>
      </c>
      <c r="D340" s="429" t="s">
        <v>593</v>
      </c>
      <c r="E340" s="430"/>
      <c r="F340"/>
      <c r="G340"/>
      <c r="H340"/>
      <c r="I340" s="474"/>
      <c r="J340" s="409"/>
    </row>
    <row r="341" spans="1:10" ht="12" customHeight="1">
      <c r="A341" s="756"/>
      <c r="B341" s="431" t="s">
        <v>647</v>
      </c>
      <c r="C341" s="432">
        <v>6648</v>
      </c>
      <c r="D341" s="432">
        <v>50867</v>
      </c>
      <c r="E341" s="433">
        <v>28360535</v>
      </c>
      <c r="F341"/>
      <c r="G341"/>
      <c r="H341"/>
      <c r="I341" s="474"/>
      <c r="J341" s="409"/>
    </row>
    <row r="342" spans="1:10" ht="12" customHeight="1">
      <c r="A342" s="756"/>
      <c r="B342" s="431" t="s">
        <v>648</v>
      </c>
      <c r="C342" s="432">
        <v>3215</v>
      </c>
      <c r="D342" s="432">
        <v>45906</v>
      </c>
      <c r="E342" s="433">
        <v>23336636</v>
      </c>
      <c r="F342"/>
      <c r="G342"/>
      <c r="H342"/>
      <c r="I342" s="474"/>
      <c r="J342" s="409"/>
    </row>
    <row r="343" spans="1:10" ht="12" customHeight="1">
      <c r="A343" s="756"/>
      <c r="B343" s="434" t="s">
        <v>649</v>
      </c>
      <c r="C343" s="432">
        <v>1105</v>
      </c>
      <c r="D343" s="432">
        <v>11858</v>
      </c>
      <c r="E343" s="433">
        <v>49258712</v>
      </c>
      <c r="F343"/>
      <c r="G343"/>
      <c r="H343"/>
      <c r="I343" s="474"/>
      <c r="J343" s="409"/>
    </row>
    <row r="344" spans="1:10" ht="12" customHeight="1">
      <c r="A344" s="756"/>
      <c r="B344" s="434" t="s">
        <v>650</v>
      </c>
      <c r="C344" s="432">
        <v>8758</v>
      </c>
      <c r="D344" s="432">
        <v>84915</v>
      </c>
      <c r="E344" s="433">
        <v>22383317</v>
      </c>
      <c r="F344"/>
      <c r="G344"/>
      <c r="H344"/>
      <c r="I344" s="474"/>
      <c r="J344" s="409"/>
    </row>
    <row r="345" spans="1:10" ht="12" customHeight="1">
      <c r="A345" s="756"/>
      <c r="B345" s="427" t="s">
        <v>651</v>
      </c>
      <c r="C345" s="432">
        <v>0</v>
      </c>
      <c r="D345" s="432">
        <v>88250</v>
      </c>
      <c r="E345" s="433">
        <v>26214475</v>
      </c>
      <c r="F345"/>
      <c r="G345"/>
      <c r="H345"/>
      <c r="I345" s="474"/>
      <c r="J345" s="409"/>
    </row>
    <row r="346" spans="1:10" ht="12" customHeight="1">
      <c r="A346" s="756"/>
      <c r="B346" s="427" t="s">
        <v>652</v>
      </c>
      <c r="C346" s="432">
        <v>0</v>
      </c>
      <c r="D346" s="432">
        <v>8523</v>
      </c>
      <c r="E346" s="433">
        <v>23756313</v>
      </c>
      <c r="F346"/>
      <c r="G346"/>
      <c r="H346"/>
      <c r="I346" s="474"/>
      <c r="J346" s="409"/>
    </row>
    <row r="347" spans="1:10" ht="12" customHeight="1">
      <c r="A347" s="756"/>
      <c r="B347" s="434" t="s">
        <v>653</v>
      </c>
      <c r="C347" s="435">
        <v>9863</v>
      </c>
      <c r="D347" s="435">
        <v>96773</v>
      </c>
      <c r="E347" s="436">
        <v>26000809</v>
      </c>
      <c r="F347"/>
      <c r="G347"/>
      <c r="H347"/>
      <c r="I347" s="474"/>
      <c r="J347" s="409"/>
    </row>
    <row r="348" spans="1:10" ht="12" customHeight="1">
      <c r="A348" s="756">
        <v>82</v>
      </c>
      <c r="B348" s="428" t="s">
        <v>632</v>
      </c>
      <c r="C348" s="429" t="s">
        <v>53</v>
      </c>
      <c r="D348" s="429" t="s">
        <v>593</v>
      </c>
      <c r="E348" s="430"/>
      <c r="F348"/>
      <c r="G348"/>
      <c r="H348"/>
      <c r="I348" s="474"/>
      <c r="J348" s="409"/>
    </row>
    <row r="349" spans="1:10" ht="12" customHeight="1">
      <c r="A349" s="756"/>
      <c r="B349" s="431" t="s">
        <v>647</v>
      </c>
      <c r="C349" s="432">
        <v>41718</v>
      </c>
      <c r="D349" s="432">
        <v>345476</v>
      </c>
      <c r="E349" s="433">
        <v>34008842</v>
      </c>
      <c r="F349"/>
      <c r="G349"/>
      <c r="H349"/>
      <c r="I349" s="474"/>
      <c r="J349" s="409"/>
    </row>
    <row r="350" spans="1:10" ht="12" customHeight="1">
      <c r="A350" s="756"/>
      <c r="B350" s="431" t="s">
        <v>648</v>
      </c>
      <c r="C350" s="432">
        <v>5916</v>
      </c>
      <c r="D350" s="432">
        <v>53263</v>
      </c>
      <c r="E350" s="433">
        <v>35832549</v>
      </c>
      <c r="F350"/>
      <c r="G350"/>
      <c r="H350"/>
      <c r="I350" s="474"/>
      <c r="J350" s="409"/>
    </row>
    <row r="351" spans="1:10" ht="12" customHeight="1">
      <c r="A351" s="756"/>
      <c r="B351" s="434" t="s">
        <v>649</v>
      </c>
      <c r="C351" s="432">
        <v>12939</v>
      </c>
      <c r="D351" s="432">
        <v>109858</v>
      </c>
      <c r="E351" s="433">
        <v>46079278</v>
      </c>
      <c r="F351"/>
      <c r="G351"/>
      <c r="H351"/>
      <c r="I351" s="474"/>
      <c r="J351" s="409"/>
    </row>
    <row r="352" spans="1:10" ht="12" customHeight="1">
      <c r="A352" s="756"/>
      <c r="B352" s="434" t="s">
        <v>650</v>
      </c>
      <c r="C352" s="432">
        <v>34695</v>
      </c>
      <c r="D352" s="432">
        <v>288881</v>
      </c>
      <c r="E352" s="433">
        <v>30734889</v>
      </c>
      <c r="F352"/>
      <c r="G352"/>
      <c r="H352"/>
      <c r="I352" s="474"/>
      <c r="J352" s="409"/>
    </row>
    <row r="353" spans="1:10" ht="12" customHeight="1">
      <c r="A353" s="756"/>
      <c r="B353" s="427" t="s">
        <v>651</v>
      </c>
      <c r="C353" s="432">
        <v>0</v>
      </c>
      <c r="D353" s="432">
        <v>181301</v>
      </c>
      <c r="E353" s="433">
        <v>34888853</v>
      </c>
      <c r="F353"/>
      <c r="G353"/>
      <c r="H353"/>
      <c r="I353" s="474"/>
      <c r="J353" s="409"/>
    </row>
    <row r="354" spans="1:10" ht="12" customHeight="1">
      <c r="A354" s="756"/>
      <c r="B354" s="427" t="s">
        <v>652</v>
      </c>
      <c r="C354" s="432">
        <v>0</v>
      </c>
      <c r="D354" s="432">
        <v>217438</v>
      </c>
      <c r="E354" s="433">
        <v>33600262</v>
      </c>
      <c r="F354"/>
      <c r="G354"/>
      <c r="H354"/>
      <c r="I354" s="474"/>
      <c r="J354" s="409"/>
    </row>
    <row r="355" spans="1:10" ht="12" customHeight="1">
      <c r="A355" s="756"/>
      <c r="B355" s="434" t="s">
        <v>653</v>
      </c>
      <c r="C355" s="435">
        <v>47634</v>
      </c>
      <c r="D355" s="435">
        <v>398739</v>
      </c>
      <c r="E355" s="436">
        <v>34201330</v>
      </c>
      <c r="F355"/>
      <c r="G355"/>
      <c r="H355"/>
      <c r="I355" s="474"/>
      <c r="J355" s="409"/>
    </row>
    <row r="356" spans="1:10" ht="12" customHeight="1">
      <c r="A356" s="756">
        <v>83</v>
      </c>
      <c r="B356" s="428" t="s">
        <v>633</v>
      </c>
      <c r="C356" s="429" t="s">
        <v>53</v>
      </c>
      <c r="D356" s="429" t="s">
        <v>593</v>
      </c>
      <c r="E356" s="430"/>
      <c r="F356"/>
      <c r="G356"/>
      <c r="H356"/>
      <c r="I356" s="474"/>
      <c r="J356" s="408"/>
    </row>
    <row r="357" spans="1:10" ht="12" customHeight="1">
      <c r="A357" s="756"/>
      <c r="B357" s="431" t="s">
        <v>647</v>
      </c>
      <c r="C357" s="432">
        <v>82252</v>
      </c>
      <c r="D357" s="432">
        <v>494403</v>
      </c>
      <c r="E357" s="433">
        <v>40838878</v>
      </c>
      <c r="F357"/>
      <c r="G357"/>
      <c r="H357"/>
      <c r="I357" s="474"/>
      <c r="J357" s="408"/>
    </row>
    <row r="358" spans="1:10" ht="12" customHeight="1">
      <c r="A358" s="756"/>
      <c r="B358" s="431" t="s">
        <v>648</v>
      </c>
      <c r="C358" s="432">
        <v>1449</v>
      </c>
      <c r="D358" s="432">
        <v>32507</v>
      </c>
      <c r="E358" s="433">
        <v>24760182</v>
      </c>
      <c r="F358"/>
      <c r="G358"/>
      <c r="H358"/>
      <c r="I358" s="474"/>
      <c r="J358" s="417">
        <v>1523138613</v>
      </c>
    </row>
    <row r="359" spans="1:10" ht="12" customHeight="1">
      <c r="A359" s="756"/>
      <c r="B359" s="434" t="s">
        <v>649</v>
      </c>
      <c r="C359" s="432">
        <v>2379</v>
      </c>
      <c r="D359" s="432">
        <v>58848</v>
      </c>
      <c r="E359" s="433">
        <v>56731537</v>
      </c>
      <c r="F359"/>
      <c r="G359"/>
      <c r="H359"/>
      <c r="I359" s="474"/>
      <c r="J359" s="417" t="e">
        <v>#VALUE!</v>
      </c>
    </row>
    <row r="360" spans="1:10" ht="12" customHeight="1">
      <c r="A360" s="756"/>
      <c r="B360" s="434" t="s">
        <v>650</v>
      </c>
      <c r="C360" s="432">
        <v>81322</v>
      </c>
      <c r="D360" s="432">
        <v>468062</v>
      </c>
      <c r="E360" s="433">
        <v>37662776</v>
      </c>
      <c r="F360"/>
      <c r="G360"/>
      <c r="H360"/>
      <c r="I360" s="474"/>
      <c r="J360" s="408"/>
    </row>
    <row r="361" spans="1:10" ht="12" customHeight="1">
      <c r="A361" s="756"/>
      <c r="B361" s="427" t="s">
        <v>651</v>
      </c>
      <c r="C361" s="432">
        <v>0</v>
      </c>
      <c r="D361" s="432">
        <v>333880</v>
      </c>
      <c r="E361" s="433">
        <v>41609648</v>
      </c>
      <c r="F361"/>
      <c r="G361"/>
      <c r="H361"/>
      <c r="I361" s="474"/>
      <c r="J361" s="408"/>
    </row>
    <row r="362" spans="1:10" ht="12" customHeight="1">
      <c r="A362" s="756"/>
      <c r="B362" s="427" t="s">
        <v>652</v>
      </c>
      <c r="C362" s="432">
        <v>0</v>
      </c>
      <c r="D362" s="432">
        <v>193030</v>
      </c>
      <c r="E362" s="433">
        <v>36792179</v>
      </c>
      <c r="F362"/>
      <c r="G362"/>
      <c r="H362"/>
      <c r="I362" s="474"/>
      <c r="J362" s="408"/>
    </row>
    <row r="363" spans="1:10" ht="12" customHeight="1" thickBot="1">
      <c r="A363" s="757"/>
      <c r="B363" s="437" t="s">
        <v>653</v>
      </c>
      <c r="C363" s="438">
        <v>83701</v>
      </c>
      <c r="D363" s="438">
        <v>526910</v>
      </c>
      <c r="E363" s="439">
        <v>39864642</v>
      </c>
      <c r="F363"/>
      <c r="G363"/>
      <c r="H363"/>
      <c r="I363" s="474"/>
      <c r="J363" s="408"/>
    </row>
    <row r="364" spans="1:10" ht="14.25" thickBot="1" thickTop="1">
      <c r="A364" s="411"/>
      <c r="B364" s="412"/>
      <c r="C364" s="420"/>
      <c r="D364" s="420"/>
      <c r="E364" s="413" t="s">
        <v>53</v>
      </c>
      <c r="J364" s="408"/>
    </row>
    <row r="365" spans="1:10" ht="12.75" customHeight="1" thickTop="1">
      <c r="A365" s="760" t="s">
        <v>578</v>
      </c>
      <c r="B365" s="447" t="s">
        <v>53</v>
      </c>
      <c r="C365" s="443"/>
      <c r="D365" s="443" t="s">
        <v>579</v>
      </c>
      <c r="E365" s="440" t="s">
        <v>580</v>
      </c>
      <c r="J365" s="408"/>
    </row>
    <row r="366" spans="1:10" ht="12.75">
      <c r="A366" s="761"/>
      <c r="B366" s="448" t="s">
        <v>581</v>
      </c>
      <c r="C366" s="444" t="s">
        <v>582</v>
      </c>
      <c r="D366" s="444" t="s">
        <v>583</v>
      </c>
      <c r="E366" s="441" t="s">
        <v>584</v>
      </c>
      <c r="J366" s="408"/>
    </row>
    <row r="367" spans="1:10" ht="12.75">
      <c r="A367" s="761"/>
      <c r="B367" s="449" t="s">
        <v>585</v>
      </c>
      <c r="C367" s="445" t="s">
        <v>586</v>
      </c>
      <c r="D367" s="445" t="s">
        <v>587</v>
      </c>
      <c r="E367" s="441" t="s">
        <v>588</v>
      </c>
      <c r="J367" s="408"/>
    </row>
    <row r="368" spans="1:10" ht="11.25" customHeight="1">
      <c r="A368" s="762"/>
      <c r="B368" s="450"/>
      <c r="C368" s="446" t="s">
        <v>589</v>
      </c>
      <c r="D368" s="446" t="s">
        <v>590</v>
      </c>
      <c r="E368" s="442" t="s">
        <v>591</v>
      </c>
      <c r="J368" s="408"/>
    </row>
    <row r="369" spans="1:10" ht="12.75">
      <c r="A369" s="756">
        <v>84</v>
      </c>
      <c r="B369" s="428" t="s">
        <v>634</v>
      </c>
      <c r="C369" s="429" t="s">
        <v>53</v>
      </c>
      <c r="D369" s="429" t="s">
        <v>593</v>
      </c>
      <c r="E369" s="430"/>
      <c r="F369"/>
      <c r="G369"/>
      <c r="H369"/>
      <c r="I369" s="474"/>
      <c r="J369" s="408"/>
    </row>
    <row r="370" spans="1:10" ht="12.75">
      <c r="A370" s="756"/>
      <c r="B370" s="431" t="s">
        <v>647</v>
      </c>
      <c r="C370" s="432">
        <v>7167</v>
      </c>
      <c r="D370" s="432">
        <v>45810</v>
      </c>
      <c r="E370" s="433">
        <v>31404634</v>
      </c>
      <c r="F370"/>
      <c r="G370"/>
      <c r="H370"/>
      <c r="I370" s="474"/>
      <c r="J370" s="409"/>
    </row>
    <row r="371" spans="1:10" ht="12.75">
      <c r="A371" s="756"/>
      <c r="B371" s="431" t="s">
        <v>648</v>
      </c>
      <c r="C371" s="432">
        <v>211</v>
      </c>
      <c r="D371" s="432">
        <v>2452</v>
      </c>
      <c r="E371" s="433">
        <v>30039125</v>
      </c>
      <c r="F371"/>
      <c r="G371"/>
      <c r="H371"/>
      <c r="I371" s="474"/>
      <c r="J371" s="409"/>
    </row>
    <row r="372" spans="1:10" ht="12.75">
      <c r="A372" s="756"/>
      <c r="B372" s="434" t="s">
        <v>649</v>
      </c>
      <c r="C372" s="432">
        <v>123</v>
      </c>
      <c r="D372" s="432">
        <v>3054</v>
      </c>
      <c r="E372" s="433">
        <v>41633237</v>
      </c>
      <c r="F372"/>
      <c r="G372"/>
      <c r="H372"/>
      <c r="I372" s="474"/>
      <c r="J372" s="409"/>
    </row>
    <row r="373" spans="1:10" ht="12.75">
      <c r="A373" s="756"/>
      <c r="B373" s="434" t="s">
        <v>650</v>
      </c>
      <c r="C373" s="432">
        <v>7255</v>
      </c>
      <c r="D373" s="432">
        <v>45208</v>
      </c>
      <c r="E373" s="433">
        <v>30744308</v>
      </c>
      <c r="F373"/>
      <c r="G373"/>
      <c r="H373"/>
      <c r="I373" s="474"/>
      <c r="J373" s="409"/>
    </row>
    <row r="374" spans="1:10" ht="12.75">
      <c r="A374" s="756"/>
      <c r="B374" s="427" t="s">
        <v>651</v>
      </c>
      <c r="C374" s="432">
        <v>0</v>
      </c>
      <c r="D374" s="432">
        <v>34475</v>
      </c>
      <c r="E374" s="433">
        <v>31171688</v>
      </c>
      <c r="F374"/>
      <c r="G374"/>
      <c r="H374"/>
      <c r="I374" s="474"/>
      <c r="J374" s="409"/>
    </row>
    <row r="375" spans="1:10" ht="12.75">
      <c r="A375" s="756"/>
      <c r="B375" s="427" t="s">
        <v>652</v>
      </c>
      <c r="C375" s="432">
        <v>0</v>
      </c>
      <c r="D375" s="432">
        <v>13787</v>
      </c>
      <c r="E375" s="433">
        <v>31785264</v>
      </c>
      <c r="F375"/>
      <c r="G375"/>
      <c r="H375"/>
      <c r="I375" s="474"/>
      <c r="J375" s="409"/>
    </row>
    <row r="376" spans="1:10" ht="12.75">
      <c r="A376" s="756"/>
      <c r="B376" s="434" t="s">
        <v>653</v>
      </c>
      <c r="C376" s="435">
        <v>7378</v>
      </c>
      <c r="D376" s="435">
        <v>48262</v>
      </c>
      <c r="E376" s="436">
        <v>31343573</v>
      </c>
      <c r="F376"/>
      <c r="G376"/>
      <c r="H376"/>
      <c r="I376" s="474"/>
      <c r="J376" s="409"/>
    </row>
    <row r="377" spans="1:10" ht="12.75">
      <c r="A377" s="756">
        <v>85</v>
      </c>
      <c r="B377" s="428" t="s">
        <v>635</v>
      </c>
      <c r="C377" s="429" t="s">
        <v>53</v>
      </c>
      <c r="D377" s="429" t="s">
        <v>593</v>
      </c>
      <c r="E377" s="430"/>
      <c r="F377"/>
      <c r="G377"/>
      <c r="H377"/>
      <c r="I377" s="474"/>
      <c r="J377" s="409"/>
    </row>
    <row r="378" spans="1:10" ht="12.75">
      <c r="A378" s="756"/>
      <c r="B378" s="431" t="s">
        <v>647</v>
      </c>
      <c r="C378" s="432">
        <v>82536</v>
      </c>
      <c r="D378" s="432">
        <v>459080</v>
      </c>
      <c r="E378" s="433">
        <v>22988129</v>
      </c>
      <c r="F378"/>
      <c r="G378"/>
      <c r="H378"/>
      <c r="I378" s="474"/>
      <c r="J378" s="409"/>
    </row>
    <row r="379" spans="1:10" ht="12.75">
      <c r="A379" s="756"/>
      <c r="B379" s="431" t="s">
        <v>648</v>
      </c>
      <c r="C379" s="432">
        <v>10917</v>
      </c>
      <c r="D379" s="432">
        <v>199680</v>
      </c>
      <c r="E379" s="433">
        <v>20014360</v>
      </c>
      <c r="F379"/>
      <c r="G379"/>
      <c r="H379"/>
      <c r="I379" s="474"/>
      <c r="J379" s="409"/>
    </row>
    <row r="380" spans="1:10" ht="12.75">
      <c r="A380" s="756"/>
      <c r="B380" s="434" t="s">
        <v>649</v>
      </c>
      <c r="C380" s="432">
        <v>2413</v>
      </c>
      <c r="D380" s="432">
        <v>27009</v>
      </c>
      <c r="E380" s="433">
        <v>36736796</v>
      </c>
      <c r="F380"/>
      <c r="G380"/>
      <c r="H380"/>
      <c r="I380" s="474"/>
      <c r="J380" s="409"/>
    </row>
    <row r="381" spans="1:10" ht="12.75">
      <c r="A381" s="756"/>
      <c r="B381" s="434" t="s">
        <v>650</v>
      </c>
      <c r="C381" s="432">
        <v>91040</v>
      </c>
      <c r="D381" s="432">
        <v>631751</v>
      </c>
      <c r="E381" s="433">
        <v>21471836</v>
      </c>
      <c r="F381"/>
      <c r="G381"/>
      <c r="H381"/>
      <c r="I381" s="474"/>
      <c r="J381" s="409"/>
    </row>
    <row r="382" spans="1:10" ht="12.75">
      <c r="A382" s="756"/>
      <c r="B382" s="427" t="s">
        <v>651</v>
      </c>
      <c r="C382" s="432">
        <v>0</v>
      </c>
      <c r="D382" s="432">
        <v>501901</v>
      </c>
      <c r="E382" s="433">
        <v>22187566</v>
      </c>
      <c r="F382"/>
      <c r="G382"/>
      <c r="H382"/>
      <c r="I382" s="474"/>
      <c r="J382" s="409"/>
    </row>
    <row r="383" spans="1:10" ht="12.75">
      <c r="A383" s="756"/>
      <c r="B383" s="427" t="s">
        <v>652</v>
      </c>
      <c r="C383" s="432">
        <v>0</v>
      </c>
      <c r="D383" s="432">
        <v>156859</v>
      </c>
      <c r="E383" s="433">
        <v>21708563</v>
      </c>
      <c r="F383"/>
      <c r="G383"/>
      <c r="H383"/>
      <c r="I383" s="474"/>
      <c r="J383" s="409"/>
    </row>
    <row r="384" spans="1:10" ht="12.75">
      <c r="A384" s="756"/>
      <c r="B384" s="434" t="s">
        <v>653</v>
      </c>
      <c r="C384" s="435">
        <v>93453</v>
      </c>
      <c r="D384" s="435">
        <v>658760</v>
      </c>
      <c r="E384" s="436">
        <v>22075217</v>
      </c>
      <c r="F384"/>
      <c r="G384"/>
      <c r="H384"/>
      <c r="I384" s="474"/>
      <c r="J384" s="409"/>
    </row>
    <row r="385" spans="1:10" ht="12.75">
      <c r="A385" s="756" t="s">
        <v>53</v>
      </c>
      <c r="B385" s="428" t="s">
        <v>636</v>
      </c>
      <c r="C385" s="429"/>
      <c r="D385" s="429"/>
      <c r="E385" s="430"/>
      <c r="F385"/>
      <c r="G385"/>
      <c r="H385"/>
      <c r="I385" s="474"/>
      <c r="J385" s="409"/>
    </row>
    <row r="386" spans="1:10" ht="12.75">
      <c r="A386" s="756"/>
      <c r="B386" s="431" t="s">
        <v>647</v>
      </c>
      <c r="C386" s="432">
        <v>856957</v>
      </c>
      <c r="D386" s="432">
        <v>6117712</v>
      </c>
      <c r="E386" s="433">
        <v>30569563</v>
      </c>
      <c r="F386"/>
      <c r="G386"/>
      <c r="H386"/>
      <c r="I386" s="474"/>
      <c r="J386" s="409"/>
    </row>
    <row r="387" spans="1:10" ht="12.75">
      <c r="A387" s="756"/>
      <c r="B387" s="431" t="s">
        <v>648</v>
      </c>
      <c r="C387" s="432">
        <v>138820</v>
      </c>
      <c r="D387" s="432">
        <v>1310820</v>
      </c>
      <c r="E387" s="433">
        <v>22603434</v>
      </c>
      <c r="F387"/>
      <c r="G387"/>
      <c r="H387"/>
      <c r="I387" s="474"/>
      <c r="J387" s="409"/>
    </row>
    <row r="388" spans="1:10" ht="12.75">
      <c r="A388" s="756"/>
      <c r="B388" s="434" t="s">
        <v>649</v>
      </c>
      <c r="C388" s="432">
        <v>30853</v>
      </c>
      <c r="D388" s="432">
        <v>672137</v>
      </c>
      <c r="E388" s="433">
        <v>55561232</v>
      </c>
      <c r="F388"/>
      <c r="G388"/>
      <c r="H388"/>
      <c r="I388" s="474"/>
      <c r="J388" s="409"/>
    </row>
    <row r="389" spans="1:10" ht="12.75">
      <c r="A389" s="756"/>
      <c r="B389" s="434" t="s">
        <v>650</v>
      </c>
      <c r="C389" s="432">
        <v>964924</v>
      </c>
      <c r="D389" s="432">
        <v>6756395</v>
      </c>
      <c r="E389" s="433">
        <v>26663642</v>
      </c>
      <c r="F389"/>
      <c r="G389"/>
      <c r="H389"/>
      <c r="I389" s="474"/>
      <c r="J389" s="409"/>
    </row>
    <row r="390" spans="1:10" ht="12.75">
      <c r="A390" s="756"/>
      <c r="B390" s="427" t="s">
        <v>651</v>
      </c>
      <c r="C390" s="432">
        <v>0</v>
      </c>
      <c r="D390" s="432">
        <v>5873349</v>
      </c>
      <c r="E390" s="433">
        <v>29448574</v>
      </c>
      <c r="F390"/>
      <c r="G390"/>
      <c r="H390"/>
      <c r="I390" s="474"/>
      <c r="J390" s="409"/>
    </row>
    <row r="391" spans="1:10" ht="12.75">
      <c r="A391" s="756"/>
      <c r="B391" s="427" t="s">
        <v>652</v>
      </c>
      <c r="C391" s="432">
        <v>0</v>
      </c>
      <c r="D391" s="432">
        <v>1555183</v>
      </c>
      <c r="E391" s="433">
        <v>28833427</v>
      </c>
      <c r="F391"/>
      <c r="G391"/>
      <c r="H391"/>
      <c r="I391" s="474"/>
      <c r="J391" s="409"/>
    </row>
    <row r="392" spans="1:10" ht="13.5" thickBot="1">
      <c r="A392" s="757"/>
      <c r="B392" s="437" t="s">
        <v>653</v>
      </c>
      <c r="C392" s="438">
        <v>995777</v>
      </c>
      <c r="D392" s="438">
        <v>7428532</v>
      </c>
      <c r="E392" s="439">
        <v>29320334</v>
      </c>
      <c r="F392"/>
      <c r="G392" s="474"/>
      <c r="H392" s="474"/>
      <c r="I392" s="474"/>
      <c r="J392" s="409"/>
    </row>
    <row r="393" spans="1:10" ht="42" customHeight="1" thickTop="1">
      <c r="A393" s="421" t="s">
        <v>53</v>
      </c>
      <c r="B393" s="747" t="s">
        <v>702</v>
      </c>
      <c r="C393" s="748"/>
      <c r="D393" s="748"/>
      <c r="E393" s="749"/>
      <c r="F393"/>
      <c r="G393"/>
      <c r="H393"/>
      <c r="I393" s="474"/>
      <c r="J393" s="409"/>
    </row>
    <row r="394" spans="1:10" ht="12.75">
      <c r="A394" s="759" t="s">
        <v>53</v>
      </c>
      <c r="B394" s="759"/>
      <c r="C394" s="759"/>
      <c r="D394" s="759"/>
      <c r="E394" s="759"/>
      <c r="F394"/>
      <c r="G394"/>
      <c r="H394"/>
      <c r="I394" s="474"/>
      <c r="J394" s="409"/>
    </row>
    <row r="395" spans="1:10" ht="12.75">
      <c r="A395" s="422"/>
      <c r="B395" s="415"/>
      <c r="C395" s="423"/>
      <c r="D395" s="423"/>
      <c r="E395" s="424" t="s">
        <v>53</v>
      </c>
      <c r="F395"/>
      <c r="G395"/>
      <c r="H395"/>
      <c r="I395" s="474"/>
      <c r="J395" s="409"/>
    </row>
    <row r="396" spans="1:10" ht="12.75">
      <c r="A396" s="422"/>
      <c r="B396" s="415"/>
      <c r="C396" s="423"/>
      <c r="D396" s="423"/>
      <c r="E396" s="424"/>
      <c r="F396"/>
      <c r="G396"/>
      <c r="H396"/>
      <c r="I396" s="474"/>
      <c r="J396" s="409"/>
    </row>
    <row r="397" spans="1:10" ht="12.75">
      <c r="A397" s="422"/>
      <c r="B397" s="415"/>
      <c r="C397" s="423"/>
      <c r="D397" s="423"/>
      <c r="E397" s="424"/>
      <c r="F397"/>
      <c r="G397"/>
      <c r="H397"/>
      <c r="I397" s="474"/>
      <c r="J397" s="409"/>
    </row>
    <row r="398" spans="1:10" ht="12.75">
      <c r="A398" s="422"/>
      <c r="B398" s="415"/>
      <c r="C398" s="423"/>
      <c r="D398" s="423"/>
      <c r="E398" s="424"/>
      <c r="F398"/>
      <c r="G398"/>
      <c r="H398"/>
      <c r="I398" s="474"/>
      <c r="J398" s="409"/>
    </row>
    <row r="399" spans="1:10" ht="12.75">
      <c r="A399" s="422"/>
      <c r="B399" s="415"/>
      <c r="C399" s="423"/>
      <c r="D399" s="423"/>
      <c r="E399" s="424"/>
      <c r="F399"/>
      <c r="G399"/>
      <c r="H399"/>
      <c r="I399" s="474"/>
      <c r="J399" s="409"/>
    </row>
    <row r="400" spans="1:10" ht="12.75">
      <c r="A400" s="422"/>
      <c r="B400" s="415"/>
      <c r="C400" s="423"/>
      <c r="D400" s="423"/>
      <c r="E400" s="424"/>
      <c r="F400"/>
      <c r="G400"/>
      <c r="H400"/>
      <c r="I400" s="474"/>
      <c r="J400" s="409"/>
    </row>
    <row r="401" spans="1:10" ht="12.75">
      <c r="A401" s="422"/>
      <c r="B401" s="415"/>
      <c r="C401" s="423"/>
      <c r="D401" s="423"/>
      <c r="E401" s="424"/>
      <c r="F401"/>
      <c r="G401"/>
      <c r="H401"/>
      <c r="I401" s="474"/>
      <c r="J401" s="409"/>
    </row>
    <row r="402" spans="1:10" ht="12.75">
      <c r="A402" s="422"/>
      <c r="B402" s="415"/>
      <c r="C402" s="423"/>
      <c r="D402" s="423"/>
      <c r="E402" s="424"/>
      <c r="F402"/>
      <c r="G402"/>
      <c r="H402"/>
      <c r="I402" s="474"/>
      <c r="J402" s="409"/>
    </row>
    <row r="403" spans="1:10" ht="12.75">
      <c r="A403" s="422"/>
      <c r="B403" s="415"/>
      <c r="C403" s="423"/>
      <c r="D403" s="423"/>
      <c r="E403" s="424"/>
      <c r="F403"/>
      <c r="G403"/>
      <c r="H403"/>
      <c r="I403" s="474"/>
      <c r="J403" s="409"/>
    </row>
    <row r="404" spans="1:10" ht="12.75">
      <c r="A404" s="422"/>
      <c r="B404" s="415"/>
      <c r="C404" s="423"/>
      <c r="D404" s="423"/>
      <c r="E404" s="424"/>
      <c r="F404"/>
      <c r="G404"/>
      <c r="H404"/>
      <c r="I404" s="474"/>
      <c r="J404" s="409"/>
    </row>
    <row r="405" spans="1:10" ht="12.75">
      <c r="A405" s="422"/>
      <c r="B405" s="415"/>
      <c r="C405" s="423"/>
      <c r="D405" s="423"/>
      <c r="E405" s="424"/>
      <c r="F405"/>
      <c r="G405"/>
      <c r="H405"/>
      <c r="I405" s="474"/>
      <c r="J405" s="409"/>
    </row>
    <row r="406" spans="1:10" ht="12.75">
      <c r="A406" s="422"/>
      <c r="B406" s="415"/>
      <c r="C406" s="423"/>
      <c r="D406" s="423"/>
      <c r="E406" s="424"/>
      <c r="F406"/>
      <c r="G406"/>
      <c r="H406"/>
      <c r="I406" s="474"/>
      <c r="J406" s="409"/>
    </row>
    <row r="407" spans="1:10" ht="12.75">
      <c r="A407" s="422"/>
      <c r="B407" s="415"/>
      <c r="C407" s="423"/>
      <c r="D407" s="423"/>
      <c r="E407" s="424"/>
      <c r="F407"/>
      <c r="G407"/>
      <c r="H407"/>
      <c r="I407" s="474"/>
      <c r="J407" s="409"/>
    </row>
    <row r="408" spans="1:10" ht="12.75">
      <c r="A408" s="422"/>
      <c r="B408" s="415"/>
      <c r="C408" s="423"/>
      <c r="D408" s="423"/>
      <c r="E408" s="424"/>
      <c r="F408"/>
      <c r="G408"/>
      <c r="H408"/>
      <c r="I408" s="474"/>
      <c r="J408" s="409"/>
    </row>
    <row r="409" spans="1:10" ht="12.75">
      <c r="A409" s="422"/>
      <c r="B409" s="415"/>
      <c r="C409" s="423"/>
      <c r="D409" s="423"/>
      <c r="E409" s="424"/>
      <c r="F409"/>
      <c r="G409"/>
      <c r="H409"/>
      <c r="I409" s="474"/>
      <c r="J409" s="409"/>
    </row>
    <row r="410" spans="1:10" ht="12.75">
      <c r="A410" s="422"/>
      <c r="B410" s="415"/>
      <c r="C410" s="423"/>
      <c r="D410" s="423"/>
      <c r="E410" s="424"/>
      <c r="F410"/>
      <c r="G410"/>
      <c r="H410"/>
      <c r="I410" s="474"/>
      <c r="J410" s="409"/>
    </row>
    <row r="411" spans="1:10" ht="12.75">
      <c r="A411" s="422"/>
      <c r="B411" s="415"/>
      <c r="C411" s="423"/>
      <c r="D411" s="423"/>
      <c r="E411" s="424"/>
      <c r="F411"/>
      <c r="G411"/>
      <c r="H411"/>
      <c r="I411" s="474"/>
      <c r="J411" s="409"/>
    </row>
    <row r="412" spans="1:10" ht="12.75">
      <c r="A412" s="422"/>
      <c r="B412" s="415"/>
      <c r="C412" s="423"/>
      <c r="D412" s="423"/>
      <c r="E412" s="424"/>
      <c r="F412"/>
      <c r="G412"/>
      <c r="H412"/>
      <c r="I412" s="474"/>
      <c r="J412" s="409"/>
    </row>
    <row r="413" spans="1:10" ht="12.75">
      <c r="A413" s="422"/>
      <c r="B413" s="415"/>
      <c r="C413" s="423"/>
      <c r="D413" s="423"/>
      <c r="E413" s="424"/>
      <c r="F413"/>
      <c r="G413"/>
      <c r="H413"/>
      <c r="I413" s="474"/>
      <c r="J413" s="409"/>
    </row>
    <row r="414" spans="1:10" ht="12.75">
      <c r="A414" s="422"/>
      <c r="B414" s="415"/>
      <c r="C414" s="423"/>
      <c r="D414" s="423"/>
      <c r="E414" s="424"/>
      <c r="F414"/>
      <c r="G414"/>
      <c r="H414"/>
      <c r="I414" s="474"/>
      <c r="J414" s="409"/>
    </row>
    <row r="415" spans="1:10" ht="12.75">
      <c r="A415" s="422"/>
      <c r="B415" s="415"/>
      <c r="C415" s="423"/>
      <c r="D415" s="423"/>
      <c r="E415" s="424"/>
      <c r="F415"/>
      <c r="G415"/>
      <c r="H415"/>
      <c r="I415" s="474"/>
      <c r="J415" s="409"/>
    </row>
    <row r="416" spans="1:10" ht="12.75">
      <c r="A416" s="422"/>
      <c r="B416" s="415"/>
      <c r="C416" s="423"/>
      <c r="D416" s="423"/>
      <c r="E416" s="424"/>
      <c r="F416"/>
      <c r="G416"/>
      <c r="H416"/>
      <c r="I416" s="474"/>
      <c r="J416" s="409"/>
    </row>
    <row r="417" spans="1:10" ht="12.75">
      <c r="A417" s="422"/>
      <c r="B417" s="415"/>
      <c r="C417" s="423"/>
      <c r="D417" s="423"/>
      <c r="E417" s="424"/>
      <c r="F417"/>
      <c r="G417"/>
      <c r="H417"/>
      <c r="I417" s="474"/>
      <c r="J417" s="409"/>
    </row>
    <row r="418" spans="1:10" ht="12.75">
      <c r="A418" s="422"/>
      <c r="B418" s="415"/>
      <c r="C418" s="423"/>
      <c r="D418" s="423"/>
      <c r="E418" s="424"/>
      <c r="F418"/>
      <c r="G418"/>
      <c r="H418"/>
      <c r="I418" s="474"/>
      <c r="J418" s="409"/>
    </row>
    <row r="419" spans="1:10" ht="12.75">
      <c r="A419" s="422"/>
      <c r="B419" s="415"/>
      <c r="C419" s="423"/>
      <c r="D419" s="423"/>
      <c r="E419" s="424"/>
      <c r="F419"/>
      <c r="G419"/>
      <c r="H419"/>
      <c r="I419" s="474"/>
      <c r="J419" s="409"/>
    </row>
    <row r="420" spans="1:10" ht="12.75">
      <c r="A420" s="422"/>
      <c r="B420" s="415"/>
      <c r="C420" s="423"/>
      <c r="D420" s="423"/>
      <c r="E420" s="424"/>
      <c r="F420"/>
      <c r="G420"/>
      <c r="H420"/>
      <c r="I420" s="474"/>
      <c r="J420" s="409"/>
    </row>
    <row r="421" spans="1:10" ht="12.75">
      <c r="A421" s="422"/>
      <c r="B421" s="415"/>
      <c r="C421" s="423"/>
      <c r="D421" s="423"/>
      <c r="E421" s="424"/>
      <c r="F421"/>
      <c r="G421"/>
      <c r="H421"/>
      <c r="I421" s="474"/>
      <c r="J421" s="409"/>
    </row>
    <row r="422" spans="1:10" ht="12.75">
      <c r="A422" s="422"/>
      <c r="B422" s="415"/>
      <c r="C422" s="423"/>
      <c r="D422" s="423"/>
      <c r="E422" s="424"/>
      <c r="F422"/>
      <c r="G422"/>
      <c r="H422"/>
      <c r="I422" s="474"/>
      <c r="J422" s="409"/>
    </row>
    <row r="423" spans="1:10" ht="12.75">
      <c r="A423" s="422"/>
      <c r="B423" s="415"/>
      <c r="C423" s="423"/>
      <c r="D423" s="423"/>
      <c r="E423" s="424"/>
      <c r="F423"/>
      <c r="G423"/>
      <c r="H423"/>
      <c r="I423" s="474"/>
      <c r="J423" s="409"/>
    </row>
    <row r="424" spans="1:10" ht="12.75">
      <c r="A424" s="422"/>
      <c r="B424" s="415"/>
      <c r="C424" s="423"/>
      <c r="D424" s="423"/>
      <c r="E424" s="424"/>
      <c r="F424"/>
      <c r="G424"/>
      <c r="H424"/>
      <c r="I424" s="474"/>
      <c r="J424" s="409"/>
    </row>
    <row r="425" spans="1:10" ht="12.75">
      <c r="A425" s="422"/>
      <c r="B425" s="415"/>
      <c r="C425" s="423"/>
      <c r="D425" s="423"/>
      <c r="E425" s="424"/>
      <c r="F425"/>
      <c r="G425"/>
      <c r="H425"/>
      <c r="I425" s="474"/>
      <c r="J425" s="409"/>
    </row>
    <row r="426" spans="1:10" ht="12.75">
      <c r="A426" s="422"/>
      <c r="B426" s="415"/>
      <c r="C426" s="423"/>
      <c r="D426" s="423"/>
      <c r="E426" s="424"/>
      <c r="F426"/>
      <c r="G426"/>
      <c r="H426"/>
      <c r="I426" s="474"/>
      <c r="J426" s="409"/>
    </row>
    <row r="427" spans="1:10" ht="12.75">
      <c r="A427" s="422"/>
      <c r="B427" s="415"/>
      <c r="C427" s="423"/>
      <c r="D427" s="423"/>
      <c r="E427" s="424"/>
      <c r="F427"/>
      <c r="G427"/>
      <c r="H427"/>
      <c r="I427" s="474"/>
      <c r="J427" s="409"/>
    </row>
    <row r="428" spans="1:10" ht="12.75">
      <c r="A428" s="425"/>
      <c r="B428" s="409"/>
      <c r="C428" s="423"/>
      <c r="D428" s="423"/>
      <c r="E428" s="409"/>
      <c r="F428"/>
      <c r="G428"/>
      <c r="H428"/>
      <c r="I428" s="474"/>
      <c r="J428" s="409"/>
    </row>
    <row r="429" spans="1:10" ht="12.75">
      <c r="A429" s="425"/>
      <c r="B429" s="409"/>
      <c r="C429" s="423">
        <v>814093</v>
      </c>
      <c r="D429" s="423">
        <v>5774759</v>
      </c>
      <c r="E429" s="415">
        <v>29796062</v>
      </c>
      <c r="F429"/>
      <c r="G429"/>
      <c r="H429"/>
      <c r="I429" s="474"/>
      <c r="J429" s="409"/>
    </row>
    <row r="430" spans="1:10" ht="12.75">
      <c r="A430" s="425"/>
      <c r="B430" s="409"/>
      <c r="C430" s="423">
        <v>130891</v>
      </c>
      <c r="D430" s="423">
        <v>1143846</v>
      </c>
      <c r="E430" s="415">
        <v>21589960</v>
      </c>
      <c r="F430"/>
      <c r="G430"/>
      <c r="H430"/>
      <c r="I430" s="474"/>
      <c r="J430" s="409"/>
    </row>
    <row r="431" spans="1:10" ht="12.75">
      <c r="A431" s="425"/>
      <c r="B431" s="409"/>
      <c r="C431" s="423">
        <v>31198</v>
      </c>
      <c r="D431" s="423">
        <v>680600</v>
      </c>
      <c r="E431" s="415">
        <v>57747156</v>
      </c>
      <c r="F431"/>
      <c r="G431"/>
      <c r="H431"/>
      <c r="I431" s="474"/>
      <c r="J431" s="409"/>
    </row>
    <row r="432" spans="1:10" ht="12.75">
      <c r="A432" s="422"/>
      <c r="B432" s="415"/>
      <c r="C432" s="423">
        <v>913786</v>
      </c>
      <c r="D432" s="423">
        <v>6238105</v>
      </c>
      <c r="E432" s="415">
        <v>25348635</v>
      </c>
      <c r="F432"/>
      <c r="G432"/>
      <c r="H432"/>
      <c r="I432" s="474"/>
      <c r="J432" s="409"/>
    </row>
    <row r="433" spans="1:10" ht="12.75">
      <c r="A433" s="422"/>
      <c r="B433" s="415"/>
      <c r="C433" s="423">
        <v>0</v>
      </c>
      <c r="D433" s="423">
        <v>5486494</v>
      </c>
      <c r="E433" s="415">
        <v>28909827</v>
      </c>
      <c r="F433"/>
      <c r="G433"/>
      <c r="H433"/>
      <c r="I433" s="474"/>
      <c r="J433" s="409"/>
    </row>
    <row r="434" spans="1:10" ht="12.75">
      <c r="A434" s="422"/>
      <c r="B434" s="415"/>
      <c r="C434" s="415">
        <v>0</v>
      </c>
      <c r="D434" s="415">
        <v>1432111</v>
      </c>
      <c r="E434" s="415">
        <v>27309603</v>
      </c>
      <c r="F434"/>
      <c r="G434"/>
      <c r="H434"/>
      <c r="I434" s="474"/>
      <c r="J434" s="409"/>
    </row>
    <row r="435" spans="1:10" ht="12.75">
      <c r="A435" s="422"/>
      <c r="B435" s="415"/>
      <c r="C435" s="415">
        <v>944984</v>
      </c>
      <c r="D435" s="415">
        <v>6918605</v>
      </c>
      <c r="E435" s="415">
        <v>28583520</v>
      </c>
      <c r="F435"/>
      <c r="G435"/>
      <c r="H435"/>
      <c r="I435" s="474"/>
      <c r="J435" s="409"/>
    </row>
    <row r="436" spans="1:10" ht="12.75">
      <c r="A436" s="422"/>
      <c r="B436" s="415"/>
      <c r="C436" s="426"/>
      <c r="D436" s="426"/>
      <c r="E436" s="415"/>
      <c r="F436"/>
      <c r="G436"/>
      <c r="H436"/>
      <c r="I436" s="474"/>
      <c r="J436" s="409"/>
    </row>
    <row r="437" spans="1:10" ht="12.75">
      <c r="A437" s="422"/>
      <c r="B437" s="415"/>
      <c r="C437" s="426">
        <v>0</v>
      </c>
      <c r="D437" s="426">
        <v>0</v>
      </c>
      <c r="E437" s="415"/>
      <c r="F437"/>
      <c r="G437"/>
      <c r="H437"/>
      <c r="I437" s="474"/>
      <c r="J437" s="409"/>
    </row>
    <row r="438" spans="1:10" ht="12.75">
      <c r="A438" s="422"/>
      <c r="B438" s="415"/>
      <c r="C438" s="426">
        <v>0</v>
      </c>
      <c r="D438" s="426">
        <v>0</v>
      </c>
      <c r="E438" s="415"/>
      <c r="F438"/>
      <c r="G438"/>
      <c r="H438"/>
      <c r="I438" s="474"/>
      <c r="J438" s="409"/>
    </row>
    <row r="439" spans="1:10" ht="12.75">
      <c r="A439" s="422"/>
      <c r="B439" s="415"/>
      <c r="C439" s="426">
        <v>0</v>
      </c>
      <c r="D439" s="426">
        <v>-100</v>
      </c>
      <c r="E439" s="415"/>
      <c r="F439"/>
      <c r="G439"/>
      <c r="H439"/>
      <c r="I439" s="474"/>
      <c r="J439" s="409"/>
    </row>
    <row r="440" spans="1:10" ht="12.75">
      <c r="A440" s="422"/>
      <c r="B440" s="415"/>
      <c r="C440" s="426">
        <v>0</v>
      </c>
      <c r="D440" s="426">
        <v>0</v>
      </c>
      <c r="E440" s="415"/>
      <c r="F440"/>
      <c r="G440"/>
      <c r="H440"/>
      <c r="I440" s="474"/>
      <c r="J440" s="409"/>
    </row>
    <row r="441" spans="1:10" ht="12.75">
      <c r="A441" s="422"/>
      <c r="B441" s="415"/>
      <c r="C441" s="426">
        <v>0</v>
      </c>
      <c r="D441" s="426">
        <v>0</v>
      </c>
      <c r="E441" s="415"/>
      <c r="F441"/>
      <c r="G441"/>
      <c r="H441"/>
      <c r="I441" s="474"/>
      <c r="J441" s="409"/>
    </row>
    <row r="442" spans="1:10" ht="12.75">
      <c r="A442" s="422"/>
      <c r="B442" s="415"/>
      <c r="C442" s="426">
        <v>0</v>
      </c>
      <c r="D442" s="426">
        <v>0</v>
      </c>
      <c r="E442" s="415"/>
      <c r="F442"/>
      <c r="G442"/>
      <c r="H442"/>
      <c r="I442" s="474"/>
      <c r="J442" s="409"/>
    </row>
    <row r="443" spans="1:10" ht="12.75">
      <c r="A443" s="422"/>
      <c r="B443" s="415"/>
      <c r="C443" s="426">
        <v>0</v>
      </c>
      <c r="D443" s="426">
        <v>0</v>
      </c>
      <c r="E443" s="415"/>
      <c r="F443"/>
      <c r="G443"/>
      <c r="H443"/>
      <c r="I443" s="474"/>
      <c r="J443" s="409"/>
    </row>
    <row r="444" spans="1:10" ht="12.75">
      <c r="A444" s="422"/>
      <c r="B444" s="415"/>
      <c r="C444" s="426">
        <v>0</v>
      </c>
      <c r="D444" s="426" t="e">
        <v>#VALUE!</v>
      </c>
      <c r="E444" s="415"/>
      <c r="F444"/>
      <c r="G444"/>
      <c r="H444"/>
      <c r="I444" s="474"/>
      <c r="J444" s="409"/>
    </row>
    <row r="445" spans="1:10" ht="12.75">
      <c r="A445" s="422"/>
      <c r="B445" s="415"/>
      <c r="C445" s="415"/>
      <c r="D445" s="415"/>
      <c r="E445" s="415"/>
      <c r="F445"/>
      <c r="G445"/>
      <c r="H445"/>
      <c r="I445" s="474"/>
      <c r="J445" s="409"/>
    </row>
    <row r="446" spans="1:10" ht="12.75">
      <c r="A446" s="425"/>
      <c r="B446" s="409"/>
      <c r="C446" s="409"/>
      <c r="D446" s="409"/>
      <c r="E446" s="409"/>
      <c r="F446"/>
      <c r="G446"/>
      <c r="H446"/>
      <c r="I446" s="474"/>
      <c r="J446" s="409"/>
    </row>
    <row r="447" spans="1:10" ht="12.75">
      <c r="A447" s="425"/>
      <c r="B447" s="409"/>
      <c r="C447" s="409"/>
      <c r="D447" s="409"/>
      <c r="E447" s="409"/>
      <c r="F447"/>
      <c r="G447"/>
      <c r="H447"/>
      <c r="I447" s="474"/>
      <c r="J447" s="409"/>
    </row>
    <row r="448" spans="1:10" ht="12.75">
      <c r="A448" s="425"/>
      <c r="B448" s="409"/>
      <c r="C448" s="409"/>
      <c r="D448" s="409"/>
      <c r="E448" s="409"/>
      <c r="F448"/>
      <c r="G448"/>
      <c r="H448"/>
      <c r="I448" s="474"/>
      <c r="J448" s="409"/>
    </row>
    <row r="449" spans="6:9" ht="12.75">
      <c r="F449"/>
      <c r="G449"/>
      <c r="H449"/>
      <c r="I449" s="474"/>
    </row>
    <row r="450" spans="6:9" ht="12.75">
      <c r="F450"/>
      <c r="G450"/>
      <c r="H450"/>
      <c r="I450" s="474"/>
    </row>
    <row r="451" spans="6:9" ht="12.75">
      <c r="F451"/>
      <c r="G451"/>
      <c r="H451"/>
      <c r="I451" s="474"/>
    </row>
    <row r="452" spans="6:9" ht="12.75">
      <c r="F452"/>
      <c r="G452"/>
      <c r="H452"/>
      <c r="I452" s="474"/>
    </row>
    <row r="453" spans="6:9" ht="12.75">
      <c r="F453"/>
      <c r="G453"/>
      <c r="H453"/>
      <c r="I453" s="474"/>
    </row>
    <row r="454" spans="6:9" ht="12.75">
      <c r="F454"/>
      <c r="G454"/>
      <c r="H454"/>
      <c r="I454" s="474"/>
    </row>
    <row r="455" spans="6:9" ht="12.75">
      <c r="F455"/>
      <c r="G455"/>
      <c r="H455"/>
      <c r="I455" s="474"/>
    </row>
    <row r="456" spans="6:9" ht="12.75">
      <c r="F456"/>
      <c r="G456"/>
      <c r="H456"/>
      <c r="I456" s="474"/>
    </row>
    <row r="457" spans="6:9" ht="12.75">
      <c r="F457"/>
      <c r="G457"/>
      <c r="H457"/>
      <c r="I457" s="474"/>
    </row>
    <row r="458" spans="6:9" ht="12.75">
      <c r="F458"/>
      <c r="G458"/>
      <c r="H458"/>
      <c r="I458" s="474"/>
    </row>
    <row r="459" spans="6:9" ht="12.75">
      <c r="F459"/>
      <c r="G459"/>
      <c r="H459"/>
      <c r="I459" s="474"/>
    </row>
    <row r="460" spans="6:9" ht="12.75">
      <c r="F460"/>
      <c r="G460"/>
      <c r="H460"/>
      <c r="I460" s="474"/>
    </row>
    <row r="461" spans="6:9" ht="12.75">
      <c r="F461"/>
      <c r="G461"/>
      <c r="H461"/>
      <c r="I461" s="474"/>
    </row>
    <row r="462" spans="6:9" ht="12.75">
      <c r="F462"/>
      <c r="G462"/>
      <c r="H462"/>
      <c r="I462" s="474"/>
    </row>
    <row r="463" spans="6:9" ht="12.75">
      <c r="F463"/>
      <c r="G463"/>
      <c r="H463"/>
      <c r="I463" s="474"/>
    </row>
    <row r="464" spans="6:9" ht="12.75">
      <c r="F464"/>
      <c r="G464"/>
      <c r="H464"/>
      <c r="I464" s="474"/>
    </row>
    <row r="465" spans="6:9" ht="12.75">
      <c r="F465"/>
      <c r="G465"/>
      <c r="H465"/>
      <c r="I465" s="474"/>
    </row>
    <row r="466" spans="6:9" ht="12.75">
      <c r="F466"/>
      <c r="G466"/>
      <c r="H466"/>
      <c r="I466" s="474"/>
    </row>
    <row r="467" spans="6:9" ht="12.75">
      <c r="F467"/>
      <c r="G467"/>
      <c r="H467"/>
      <c r="I467" s="474"/>
    </row>
    <row r="468" spans="6:9" ht="12.75">
      <c r="F468"/>
      <c r="G468"/>
      <c r="H468"/>
      <c r="I468" s="474"/>
    </row>
    <row r="469" spans="6:9" ht="12.75">
      <c r="F469"/>
      <c r="G469"/>
      <c r="H469"/>
      <c r="I469" s="474"/>
    </row>
    <row r="470" spans="6:9" ht="12.75">
      <c r="F470"/>
      <c r="G470"/>
      <c r="H470"/>
      <c r="I470" s="474"/>
    </row>
    <row r="471" spans="6:9" ht="12.75">
      <c r="F471"/>
      <c r="G471"/>
      <c r="H471"/>
      <c r="I471" s="474"/>
    </row>
    <row r="472" spans="6:9" ht="12.75">
      <c r="F472"/>
      <c r="G472"/>
      <c r="H472"/>
      <c r="I472" s="474"/>
    </row>
    <row r="473" spans="6:9" ht="12.75">
      <c r="F473"/>
      <c r="G473"/>
      <c r="H473"/>
      <c r="I473" s="474"/>
    </row>
    <row r="474" spans="6:9" ht="12.75">
      <c r="F474"/>
      <c r="G474"/>
      <c r="H474"/>
      <c r="I474" s="474"/>
    </row>
    <row r="475" spans="6:9" ht="12.75">
      <c r="F475"/>
      <c r="G475"/>
      <c r="H475"/>
      <c r="I475" s="474"/>
    </row>
    <row r="476" spans="6:9" ht="12.75">
      <c r="F476"/>
      <c r="G476"/>
      <c r="H476"/>
      <c r="I476" s="474"/>
    </row>
    <row r="477" spans="6:9" ht="12.75">
      <c r="F477"/>
      <c r="G477"/>
      <c r="H477"/>
      <c r="I477" s="474"/>
    </row>
    <row r="478" spans="6:9" ht="12.75">
      <c r="F478"/>
      <c r="G478"/>
      <c r="H478"/>
      <c r="I478" s="474"/>
    </row>
    <row r="479" spans="6:9" ht="12.75">
      <c r="F479"/>
      <c r="G479"/>
      <c r="H479"/>
      <c r="I479" s="474"/>
    </row>
    <row r="480" spans="6:9" ht="12.75">
      <c r="F480"/>
      <c r="G480"/>
      <c r="H480"/>
      <c r="I480" s="474"/>
    </row>
    <row r="481" spans="6:9" ht="12.75">
      <c r="F481"/>
      <c r="G481"/>
      <c r="H481"/>
      <c r="I481" s="474"/>
    </row>
    <row r="482" spans="6:9" ht="12.75">
      <c r="F482"/>
      <c r="G482"/>
      <c r="H482"/>
      <c r="I482" s="474"/>
    </row>
    <row r="483" spans="6:9" ht="12.75">
      <c r="F483"/>
      <c r="G483"/>
      <c r="H483"/>
      <c r="I483" s="474"/>
    </row>
    <row r="484" spans="6:9" ht="12.75">
      <c r="F484"/>
      <c r="G484"/>
      <c r="H484"/>
      <c r="I484" s="474"/>
    </row>
    <row r="485" spans="6:9" ht="12.75">
      <c r="F485"/>
      <c r="G485"/>
      <c r="H485"/>
      <c r="I485" s="474"/>
    </row>
    <row r="486" spans="6:9" ht="12.75">
      <c r="F486"/>
      <c r="G486"/>
      <c r="H486"/>
      <c r="I486" s="474"/>
    </row>
    <row r="487" spans="6:9" ht="12.75">
      <c r="F487"/>
      <c r="G487"/>
      <c r="H487"/>
      <c r="I487" s="474"/>
    </row>
    <row r="488" spans="6:9" ht="12.75">
      <c r="F488"/>
      <c r="G488"/>
      <c r="H488"/>
      <c r="I488" s="474"/>
    </row>
    <row r="489" spans="6:9" ht="12.75">
      <c r="F489"/>
      <c r="G489"/>
      <c r="H489"/>
      <c r="I489" s="474"/>
    </row>
    <row r="490" spans="6:9" ht="12.75">
      <c r="F490"/>
      <c r="G490"/>
      <c r="H490"/>
      <c r="I490" s="474"/>
    </row>
    <row r="491" spans="6:9" ht="12.75">
      <c r="F491"/>
      <c r="G491"/>
      <c r="H491"/>
      <c r="I491" s="474"/>
    </row>
    <row r="492" spans="6:9" ht="12.75">
      <c r="F492"/>
      <c r="G492"/>
      <c r="H492"/>
      <c r="I492" s="474"/>
    </row>
    <row r="493" spans="6:9" ht="12.75">
      <c r="F493"/>
      <c r="G493"/>
      <c r="H493"/>
      <c r="I493" s="474"/>
    </row>
    <row r="494" spans="6:9" ht="12.75">
      <c r="F494"/>
      <c r="G494"/>
      <c r="H494"/>
      <c r="I494" s="474"/>
    </row>
    <row r="495" spans="6:9" ht="12.75">
      <c r="F495"/>
      <c r="G495"/>
      <c r="H495"/>
      <c r="I495" s="474"/>
    </row>
    <row r="496" spans="6:9" ht="12.75">
      <c r="F496"/>
      <c r="G496"/>
      <c r="H496"/>
      <c r="I496" s="474"/>
    </row>
    <row r="497" spans="6:9" ht="12.75">
      <c r="F497"/>
      <c r="G497"/>
      <c r="H497"/>
      <c r="I497" s="474"/>
    </row>
    <row r="498" spans="6:9" ht="12.75">
      <c r="F498"/>
      <c r="G498"/>
      <c r="H498"/>
      <c r="I498" s="474"/>
    </row>
    <row r="499" spans="6:9" ht="12.75">
      <c r="F499"/>
      <c r="G499"/>
      <c r="H499"/>
      <c r="I499" s="474"/>
    </row>
    <row r="500" spans="6:9" ht="12.75">
      <c r="F500"/>
      <c r="G500"/>
      <c r="H500"/>
      <c r="I500" s="474"/>
    </row>
    <row r="501" spans="6:9" ht="12.75">
      <c r="F501"/>
      <c r="G501"/>
      <c r="H501"/>
      <c r="I501" s="474"/>
    </row>
    <row r="502" spans="6:9" ht="12.75">
      <c r="F502"/>
      <c r="G502"/>
      <c r="H502"/>
      <c r="I502" s="474"/>
    </row>
    <row r="503" spans="6:9" ht="12.75">
      <c r="F503"/>
      <c r="G503"/>
      <c r="H503"/>
      <c r="I503" s="474"/>
    </row>
    <row r="504" spans="6:9" ht="12.75">
      <c r="F504"/>
      <c r="G504"/>
      <c r="H504"/>
      <c r="I504" s="474"/>
    </row>
    <row r="505" spans="6:9" ht="12.75">
      <c r="F505"/>
      <c r="G505"/>
      <c r="H505"/>
      <c r="I505" s="474"/>
    </row>
    <row r="506" spans="6:9" ht="12.75">
      <c r="F506"/>
      <c r="G506"/>
      <c r="H506"/>
      <c r="I506" s="474"/>
    </row>
    <row r="507" spans="6:9" ht="12.75">
      <c r="F507"/>
      <c r="G507"/>
      <c r="H507"/>
      <c r="I507" s="474"/>
    </row>
    <row r="508" spans="6:9" ht="12.75">
      <c r="F508"/>
      <c r="G508"/>
      <c r="H508"/>
      <c r="I508" s="474"/>
    </row>
    <row r="509" spans="6:9" ht="12.75">
      <c r="F509"/>
      <c r="G509"/>
      <c r="H509"/>
      <c r="I509" s="474"/>
    </row>
    <row r="510" spans="6:9" ht="12.75">
      <c r="F510"/>
      <c r="G510"/>
      <c r="H510"/>
      <c r="I510" s="474"/>
    </row>
    <row r="511" spans="6:9" ht="12.75">
      <c r="F511"/>
      <c r="G511"/>
      <c r="H511"/>
      <c r="I511" s="474"/>
    </row>
    <row r="512" spans="6:9" ht="12.75">
      <c r="F512"/>
      <c r="G512"/>
      <c r="H512"/>
      <c r="I512" s="474"/>
    </row>
    <row r="513" spans="6:9" ht="12.75">
      <c r="F513"/>
      <c r="G513"/>
      <c r="H513"/>
      <c r="I513" s="474"/>
    </row>
    <row r="514" spans="6:9" ht="12.75">
      <c r="F514"/>
      <c r="G514"/>
      <c r="H514"/>
      <c r="I514" s="474"/>
    </row>
    <row r="515" spans="6:9" ht="12.75">
      <c r="F515"/>
      <c r="G515"/>
      <c r="H515"/>
      <c r="I515" s="474"/>
    </row>
    <row r="516" spans="6:9" ht="12.75">
      <c r="F516"/>
      <c r="G516"/>
      <c r="H516"/>
      <c r="I516" s="474"/>
    </row>
    <row r="517" spans="6:9" ht="12.75">
      <c r="F517"/>
      <c r="G517"/>
      <c r="H517"/>
      <c r="I517" s="474"/>
    </row>
    <row r="518" spans="6:9" ht="12.75">
      <c r="F518"/>
      <c r="G518"/>
      <c r="H518"/>
      <c r="I518" s="474"/>
    </row>
    <row r="519" spans="6:9" ht="12.75">
      <c r="F519"/>
      <c r="G519"/>
      <c r="H519"/>
      <c r="I519" s="474"/>
    </row>
    <row r="520" spans="6:9" ht="12.75">
      <c r="F520"/>
      <c r="G520"/>
      <c r="H520"/>
      <c r="I520" s="474"/>
    </row>
    <row r="521" spans="6:9" ht="12.75">
      <c r="F521"/>
      <c r="G521"/>
      <c r="H521"/>
      <c r="I521" s="474"/>
    </row>
    <row r="522" spans="6:9" ht="12.75">
      <c r="F522"/>
      <c r="G522"/>
      <c r="H522"/>
      <c r="I522" s="474"/>
    </row>
    <row r="523" spans="6:9" ht="12.75">
      <c r="F523"/>
      <c r="G523"/>
      <c r="H523"/>
      <c r="I523" s="474"/>
    </row>
    <row r="524" spans="6:9" ht="12.75">
      <c r="F524"/>
      <c r="G524"/>
      <c r="H524"/>
      <c r="I524" s="474"/>
    </row>
    <row r="525" spans="6:9" ht="12.75">
      <c r="F525"/>
      <c r="G525"/>
      <c r="H525"/>
      <c r="I525" s="474"/>
    </row>
    <row r="526" spans="6:9" ht="12.75">
      <c r="F526"/>
      <c r="G526"/>
      <c r="H526"/>
      <c r="I526" s="474"/>
    </row>
    <row r="527" spans="6:9" ht="12.75">
      <c r="F527"/>
      <c r="G527"/>
      <c r="H527"/>
      <c r="I527" s="474"/>
    </row>
    <row r="528" spans="6:9" ht="12.75">
      <c r="F528"/>
      <c r="G528"/>
      <c r="H528"/>
      <c r="I528" s="474"/>
    </row>
    <row r="529" spans="6:9" ht="12.75">
      <c r="F529"/>
      <c r="G529"/>
      <c r="H529"/>
      <c r="I529" s="474"/>
    </row>
    <row r="530" spans="6:9" ht="12.75">
      <c r="F530"/>
      <c r="G530"/>
      <c r="H530"/>
      <c r="I530" s="474"/>
    </row>
    <row r="531" spans="6:9" ht="12.75">
      <c r="F531"/>
      <c r="G531"/>
      <c r="H531"/>
      <c r="I531" s="474"/>
    </row>
    <row r="532" spans="6:9" ht="12.75">
      <c r="F532"/>
      <c r="G532"/>
      <c r="H532"/>
      <c r="I532" s="474"/>
    </row>
    <row r="533" spans="6:9" ht="12.75">
      <c r="F533"/>
      <c r="G533"/>
      <c r="H533"/>
      <c r="I533" s="474"/>
    </row>
    <row r="534" spans="6:9" ht="12.75">
      <c r="F534"/>
      <c r="G534"/>
      <c r="H534"/>
      <c r="I534" s="474"/>
    </row>
    <row r="535" spans="6:9" ht="12.75">
      <c r="F535"/>
      <c r="G535"/>
      <c r="H535"/>
      <c r="I535" s="474"/>
    </row>
    <row r="536" spans="6:9" ht="12.75">
      <c r="F536"/>
      <c r="G536"/>
      <c r="H536"/>
      <c r="I536" s="474"/>
    </row>
    <row r="537" spans="6:9" ht="12.75">
      <c r="F537"/>
      <c r="G537"/>
      <c r="H537"/>
      <c r="I537" s="474"/>
    </row>
    <row r="538" spans="6:9" ht="12.75">
      <c r="F538"/>
      <c r="G538"/>
      <c r="H538"/>
      <c r="I538" s="474"/>
    </row>
    <row r="539" spans="6:9" ht="12.75">
      <c r="F539"/>
      <c r="G539"/>
      <c r="H539"/>
      <c r="I539" s="474"/>
    </row>
    <row r="540" spans="6:9" ht="12.75">
      <c r="F540"/>
      <c r="G540"/>
      <c r="H540"/>
      <c r="I540" s="474"/>
    </row>
    <row r="541" spans="6:9" ht="12.75">
      <c r="F541"/>
      <c r="G541"/>
      <c r="H541"/>
      <c r="I541" s="474"/>
    </row>
    <row r="542" spans="6:9" ht="12.75">
      <c r="F542"/>
      <c r="G542"/>
      <c r="H542"/>
      <c r="I542" s="474"/>
    </row>
    <row r="543" spans="6:9" ht="12.75">
      <c r="F543"/>
      <c r="G543"/>
      <c r="H543"/>
      <c r="I543" s="474"/>
    </row>
    <row r="544" spans="6:9" ht="12.75">
      <c r="F544"/>
      <c r="G544"/>
      <c r="H544"/>
      <c r="I544" s="474"/>
    </row>
    <row r="545" spans="6:9" ht="12.75">
      <c r="F545"/>
      <c r="G545"/>
      <c r="H545"/>
      <c r="I545" s="474"/>
    </row>
    <row r="546" spans="6:9" ht="12.75">
      <c r="F546"/>
      <c r="G546"/>
      <c r="H546"/>
      <c r="I546" s="474"/>
    </row>
    <row r="547" spans="6:9" ht="12.75">
      <c r="F547"/>
      <c r="G547"/>
      <c r="H547"/>
      <c r="I547" s="474"/>
    </row>
    <row r="548" spans="6:9" ht="12.75">
      <c r="F548"/>
      <c r="G548"/>
      <c r="H548"/>
      <c r="I548" s="474"/>
    </row>
    <row r="549" spans="6:9" ht="12.75">
      <c r="F549"/>
      <c r="G549"/>
      <c r="H549"/>
      <c r="I549" s="474"/>
    </row>
    <row r="550" spans="6:9" ht="12.75">
      <c r="F550"/>
      <c r="G550"/>
      <c r="H550"/>
      <c r="I550" s="474"/>
    </row>
    <row r="551" spans="6:9" ht="12.75">
      <c r="F551"/>
      <c r="G551"/>
      <c r="H551"/>
      <c r="I551" s="474"/>
    </row>
    <row r="552" spans="6:9" ht="12.75">
      <c r="F552"/>
      <c r="G552"/>
      <c r="H552"/>
      <c r="I552" s="474"/>
    </row>
    <row r="553" spans="6:9" ht="12.75">
      <c r="F553"/>
      <c r="G553"/>
      <c r="H553"/>
      <c r="I553" s="474"/>
    </row>
    <row r="554" spans="6:9" ht="12.75">
      <c r="F554"/>
      <c r="G554"/>
      <c r="H554"/>
      <c r="I554" s="474"/>
    </row>
    <row r="555" spans="6:9" ht="12.75">
      <c r="F555"/>
      <c r="G555"/>
      <c r="H555"/>
      <c r="I555" s="474"/>
    </row>
    <row r="556" spans="6:9" ht="12.75">
      <c r="F556"/>
      <c r="G556"/>
      <c r="H556"/>
      <c r="I556" s="474"/>
    </row>
    <row r="557" spans="6:9" ht="12.75">
      <c r="F557"/>
      <c r="G557"/>
      <c r="H557"/>
      <c r="I557" s="474"/>
    </row>
    <row r="558" spans="6:9" ht="12.75">
      <c r="F558"/>
      <c r="G558"/>
      <c r="H558"/>
      <c r="I558" s="474"/>
    </row>
    <row r="559" spans="6:9" ht="12.75">
      <c r="F559"/>
      <c r="G559"/>
      <c r="H559"/>
      <c r="I559" s="474"/>
    </row>
    <row r="560" spans="6:9" ht="12.75">
      <c r="F560"/>
      <c r="G560"/>
      <c r="H560"/>
      <c r="I560" s="474"/>
    </row>
    <row r="561" spans="6:9" ht="12.75">
      <c r="F561"/>
      <c r="G561"/>
      <c r="H561"/>
      <c r="I561" s="474"/>
    </row>
    <row r="562" spans="6:9" ht="12.75">
      <c r="F562"/>
      <c r="G562"/>
      <c r="H562"/>
      <c r="I562" s="474"/>
    </row>
    <row r="563" spans="6:9" ht="12.75">
      <c r="F563"/>
      <c r="G563"/>
      <c r="H563"/>
      <c r="I563" s="474"/>
    </row>
    <row r="564" spans="6:9" ht="12.75">
      <c r="F564"/>
      <c r="G564"/>
      <c r="H564"/>
      <c r="I564" s="474"/>
    </row>
    <row r="565" spans="6:9" ht="12.75">
      <c r="F565"/>
      <c r="G565"/>
      <c r="H565"/>
      <c r="I565" s="474"/>
    </row>
    <row r="566" spans="6:9" ht="12.75">
      <c r="F566"/>
      <c r="G566"/>
      <c r="H566"/>
      <c r="I566" s="474"/>
    </row>
    <row r="567" spans="6:9" ht="12.75">
      <c r="F567"/>
      <c r="G567"/>
      <c r="H567"/>
      <c r="I567" s="474"/>
    </row>
    <row r="568" spans="6:9" ht="12.75">
      <c r="F568"/>
      <c r="G568"/>
      <c r="H568"/>
      <c r="I568" s="474"/>
    </row>
    <row r="569" spans="6:9" ht="12.75">
      <c r="F569"/>
      <c r="G569"/>
      <c r="H569"/>
      <c r="I569" s="474"/>
    </row>
    <row r="570" spans="6:9" ht="12.75">
      <c r="F570"/>
      <c r="G570"/>
      <c r="H570"/>
      <c r="I570" s="474"/>
    </row>
    <row r="571" spans="6:9" ht="12.75">
      <c r="F571"/>
      <c r="G571"/>
      <c r="H571"/>
      <c r="I571" s="474"/>
    </row>
    <row r="572" spans="6:9" ht="12.75">
      <c r="F572"/>
      <c r="G572"/>
      <c r="H572"/>
      <c r="I572" s="474"/>
    </row>
    <row r="573" spans="6:9" ht="12.75">
      <c r="F573"/>
      <c r="G573"/>
      <c r="H573"/>
      <c r="I573" s="474"/>
    </row>
    <row r="574" spans="6:9" ht="12.75">
      <c r="F574"/>
      <c r="G574"/>
      <c r="H574"/>
      <c r="I574" s="474"/>
    </row>
    <row r="575" spans="6:9" ht="12.75">
      <c r="F575"/>
      <c r="G575"/>
      <c r="H575"/>
      <c r="I575" s="474"/>
    </row>
    <row r="576" spans="6:9" ht="12.75">
      <c r="F576"/>
      <c r="G576"/>
      <c r="H576"/>
      <c r="I576" s="474"/>
    </row>
    <row r="577" spans="6:9" ht="12.75">
      <c r="F577"/>
      <c r="G577"/>
      <c r="H577"/>
      <c r="I577" s="474"/>
    </row>
    <row r="578" spans="6:9" ht="12.75">
      <c r="F578"/>
      <c r="G578"/>
      <c r="H578"/>
      <c r="I578" s="474"/>
    </row>
    <row r="579" spans="6:9" ht="12.75">
      <c r="F579"/>
      <c r="G579"/>
      <c r="H579"/>
      <c r="I579" s="474"/>
    </row>
    <row r="580" spans="6:9" ht="12.75">
      <c r="F580"/>
      <c r="G580"/>
      <c r="H580"/>
      <c r="I580" s="474"/>
    </row>
    <row r="581" spans="6:9" ht="12.75">
      <c r="F581"/>
      <c r="G581"/>
      <c r="H581"/>
      <c r="I581" s="474"/>
    </row>
    <row r="582" spans="6:9" ht="12.75">
      <c r="F582"/>
      <c r="G582"/>
      <c r="H582"/>
      <c r="I582" s="474"/>
    </row>
    <row r="583" spans="6:9" ht="12.75">
      <c r="F583"/>
      <c r="G583"/>
      <c r="H583"/>
      <c r="I583" s="474"/>
    </row>
    <row r="584" spans="6:9" ht="12.75">
      <c r="F584"/>
      <c r="G584"/>
      <c r="H584"/>
      <c r="I584" s="474"/>
    </row>
    <row r="585" spans="6:9" ht="12.75">
      <c r="F585"/>
      <c r="G585"/>
      <c r="H585"/>
      <c r="I585" s="474"/>
    </row>
    <row r="586" spans="6:9" ht="12.75">
      <c r="F586"/>
      <c r="G586"/>
      <c r="H586"/>
      <c r="I586" s="474"/>
    </row>
    <row r="587" spans="6:9" ht="12.75">
      <c r="F587"/>
      <c r="G587"/>
      <c r="H587"/>
      <c r="I587" s="474"/>
    </row>
    <row r="588" spans="6:9" ht="12.75">
      <c r="F588"/>
      <c r="G588"/>
      <c r="H588"/>
      <c r="I588" s="474"/>
    </row>
    <row r="589" spans="6:9" ht="12.75">
      <c r="F589"/>
      <c r="G589"/>
      <c r="H589"/>
      <c r="I589" s="474"/>
    </row>
    <row r="590" spans="6:9" ht="12.75">
      <c r="F590"/>
      <c r="G590"/>
      <c r="H590"/>
      <c r="I590" s="474"/>
    </row>
    <row r="591" spans="6:9" ht="12.75">
      <c r="F591"/>
      <c r="G591"/>
      <c r="H591"/>
      <c r="I591" s="474"/>
    </row>
    <row r="592" spans="6:9" ht="12.75">
      <c r="F592"/>
      <c r="G592"/>
      <c r="H592"/>
      <c r="I592" s="474"/>
    </row>
    <row r="593" spans="6:9" ht="12.75">
      <c r="F593"/>
      <c r="G593"/>
      <c r="H593"/>
      <c r="I593" s="474"/>
    </row>
    <row r="594" spans="6:9" ht="12.75">
      <c r="F594"/>
      <c r="G594"/>
      <c r="H594"/>
      <c r="I594" s="474"/>
    </row>
    <row r="595" spans="6:9" ht="12.75">
      <c r="F595"/>
      <c r="G595"/>
      <c r="H595"/>
      <c r="I595" s="474"/>
    </row>
    <row r="596" spans="6:9" ht="12.75">
      <c r="F596"/>
      <c r="G596"/>
      <c r="H596"/>
      <c r="I596" s="474"/>
    </row>
    <row r="597" spans="6:9" ht="12.75">
      <c r="F597"/>
      <c r="G597"/>
      <c r="H597"/>
      <c r="I597" s="474"/>
    </row>
    <row r="598" spans="6:9" ht="12.75">
      <c r="F598"/>
      <c r="G598"/>
      <c r="H598"/>
      <c r="I598" s="474"/>
    </row>
    <row r="599" spans="6:9" ht="12.75">
      <c r="F599"/>
      <c r="G599"/>
      <c r="H599"/>
      <c r="I599" s="474"/>
    </row>
    <row r="600" spans="6:9" ht="12.75">
      <c r="F600"/>
      <c r="G600"/>
      <c r="H600"/>
      <c r="I600" s="474"/>
    </row>
    <row r="601" spans="6:9" ht="12.75">
      <c r="F601"/>
      <c r="G601"/>
      <c r="H601"/>
      <c r="I601" s="474"/>
    </row>
    <row r="602" spans="6:9" ht="12.75">
      <c r="F602"/>
      <c r="G602"/>
      <c r="H602"/>
      <c r="I602" s="474"/>
    </row>
    <row r="603" spans="6:9" ht="12.75">
      <c r="F603"/>
      <c r="G603"/>
      <c r="H603"/>
      <c r="I603" s="474"/>
    </row>
    <row r="604" spans="6:9" ht="12.75">
      <c r="F604"/>
      <c r="G604"/>
      <c r="H604"/>
      <c r="I604" s="474"/>
    </row>
    <row r="605" spans="6:9" ht="12.75">
      <c r="F605"/>
      <c r="G605"/>
      <c r="H605"/>
      <c r="I605" s="474"/>
    </row>
    <row r="606" spans="6:9" ht="12.75">
      <c r="F606"/>
      <c r="G606"/>
      <c r="H606"/>
      <c r="I606" s="474"/>
    </row>
    <row r="607" spans="6:9" ht="12.75">
      <c r="F607"/>
      <c r="G607"/>
      <c r="H607"/>
      <c r="I607" s="474"/>
    </row>
    <row r="608" spans="6:9" ht="12.75">
      <c r="F608"/>
      <c r="G608"/>
      <c r="H608"/>
      <c r="I608" s="474"/>
    </row>
    <row r="609" spans="6:9" ht="12.75">
      <c r="F609"/>
      <c r="G609"/>
      <c r="H609"/>
      <c r="I609" s="474"/>
    </row>
    <row r="610" spans="6:9" ht="12.75">
      <c r="F610"/>
      <c r="G610"/>
      <c r="H610"/>
      <c r="I610" s="474"/>
    </row>
    <row r="611" spans="6:9" ht="12.75">
      <c r="F611"/>
      <c r="G611"/>
      <c r="H611"/>
      <c r="I611" s="474"/>
    </row>
    <row r="612" spans="6:9" ht="12.75">
      <c r="F612"/>
      <c r="G612"/>
      <c r="H612"/>
      <c r="I612" s="474"/>
    </row>
    <row r="613" spans="6:9" ht="12.75">
      <c r="F613"/>
      <c r="G613"/>
      <c r="H613"/>
      <c r="I613" s="474"/>
    </row>
    <row r="614" spans="6:9" ht="12.75">
      <c r="F614"/>
      <c r="G614"/>
      <c r="H614"/>
      <c r="I614" s="474"/>
    </row>
    <row r="615" spans="6:9" ht="12.75">
      <c r="F615"/>
      <c r="G615"/>
      <c r="H615"/>
      <c r="I615" s="474"/>
    </row>
    <row r="616" spans="6:9" ht="12.75">
      <c r="F616"/>
      <c r="G616"/>
      <c r="H616"/>
      <c r="I616" s="474"/>
    </row>
    <row r="617" spans="6:9" ht="12.75">
      <c r="F617"/>
      <c r="G617"/>
      <c r="H617"/>
      <c r="I617" s="474"/>
    </row>
    <row r="618" spans="6:9" ht="12.75">
      <c r="F618"/>
      <c r="G618"/>
      <c r="H618"/>
      <c r="I618" s="474"/>
    </row>
    <row r="619" spans="6:9" ht="12.75">
      <c r="F619"/>
      <c r="G619"/>
      <c r="H619"/>
      <c r="I619" s="474"/>
    </row>
    <row r="620" spans="6:9" ht="12.75">
      <c r="F620"/>
      <c r="G620"/>
      <c r="H620"/>
      <c r="I620" s="474"/>
    </row>
    <row r="621" spans="6:9" ht="12.75">
      <c r="F621"/>
      <c r="G621"/>
      <c r="H621"/>
      <c r="I621" s="474"/>
    </row>
    <row r="622" spans="6:9" ht="12.75">
      <c r="F622"/>
      <c r="G622"/>
      <c r="H622"/>
      <c r="I622" s="474"/>
    </row>
    <row r="623" spans="6:9" ht="12.75">
      <c r="F623"/>
      <c r="G623"/>
      <c r="H623"/>
      <c r="I623" s="474"/>
    </row>
    <row r="624" spans="6:9" ht="12.75">
      <c r="F624"/>
      <c r="G624"/>
      <c r="H624"/>
      <c r="I624" s="474"/>
    </row>
    <row r="625" spans="6:9" ht="12.75">
      <c r="F625"/>
      <c r="G625"/>
      <c r="H625"/>
      <c r="I625" s="474"/>
    </row>
    <row r="626" spans="6:9" ht="12.75">
      <c r="F626"/>
      <c r="G626"/>
      <c r="H626"/>
      <c r="I626" s="474"/>
    </row>
    <row r="627" spans="6:9" ht="12.75">
      <c r="F627"/>
      <c r="G627"/>
      <c r="H627"/>
      <c r="I627" s="474"/>
    </row>
    <row r="628" spans="6:9" ht="12.75">
      <c r="F628"/>
      <c r="G628"/>
      <c r="H628"/>
      <c r="I628" s="474"/>
    </row>
    <row r="629" spans="6:9" ht="12.75">
      <c r="F629"/>
      <c r="G629"/>
      <c r="H629"/>
      <c r="I629" s="474"/>
    </row>
    <row r="630" spans="6:9" ht="12.75">
      <c r="F630"/>
      <c r="G630"/>
      <c r="H630"/>
      <c r="I630" s="474"/>
    </row>
    <row r="631" spans="6:9" ht="12.75">
      <c r="F631"/>
      <c r="G631"/>
      <c r="H631"/>
      <c r="I631" s="474"/>
    </row>
    <row r="632" spans="6:9" ht="12.75">
      <c r="F632"/>
      <c r="G632"/>
      <c r="H632"/>
      <c r="I632" s="474"/>
    </row>
    <row r="633" spans="6:9" ht="12.75">
      <c r="F633"/>
      <c r="G633"/>
      <c r="H633"/>
      <c r="I633" s="474"/>
    </row>
    <row r="634" spans="6:9" ht="12.75">
      <c r="F634"/>
      <c r="G634"/>
      <c r="H634"/>
      <c r="I634" s="474"/>
    </row>
    <row r="635" spans="6:9" ht="12.75">
      <c r="F635"/>
      <c r="G635"/>
      <c r="H635"/>
      <c r="I635" s="474"/>
    </row>
    <row r="636" spans="6:9" ht="12.75">
      <c r="F636"/>
      <c r="G636"/>
      <c r="H636"/>
      <c r="I636" s="474"/>
    </row>
    <row r="637" spans="6:9" ht="12.75">
      <c r="F637"/>
      <c r="G637"/>
      <c r="H637"/>
      <c r="I637" s="474"/>
    </row>
    <row r="638" spans="6:9" ht="12.75">
      <c r="F638"/>
      <c r="G638"/>
      <c r="H638"/>
      <c r="I638" s="474"/>
    </row>
    <row r="639" spans="6:9" ht="12.75">
      <c r="F639"/>
      <c r="G639"/>
      <c r="H639"/>
      <c r="I639" s="474"/>
    </row>
    <row r="640" spans="6:9" ht="12.75">
      <c r="F640"/>
      <c r="G640"/>
      <c r="H640"/>
      <c r="I640" s="474"/>
    </row>
    <row r="641" spans="6:9" ht="12.75">
      <c r="F641"/>
      <c r="G641"/>
      <c r="H641"/>
      <c r="I641" s="474"/>
    </row>
    <row r="642" spans="6:9" ht="12.75">
      <c r="F642"/>
      <c r="G642"/>
      <c r="H642"/>
      <c r="I642" s="474"/>
    </row>
    <row r="643" spans="6:9" ht="12.75">
      <c r="F643"/>
      <c r="G643"/>
      <c r="H643"/>
      <c r="I643" s="474"/>
    </row>
    <row r="644" spans="6:9" ht="12.75">
      <c r="F644"/>
      <c r="G644"/>
      <c r="H644"/>
      <c r="I644" s="474"/>
    </row>
    <row r="645" spans="6:9" ht="12.75">
      <c r="F645"/>
      <c r="G645"/>
      <c r="H645"/>
      <c r="I645" s="474"/>
    </row>
    <row r="646" spans="6:9" ht="12.75">
      <c r="F646"/>
      <c r="G646"/>
      <c r="H646"/>
      <c r="I646" s="474"/>
    </row>
    <row r="647" spans="6:9" ht="12.75">
      <c r="F647"/>
      <c r="G647"/>
      <c r="H647"/>
      <c r="I647" s="474"/>
    </row>
    <row r="648" spans="6:9" ht="12.75">
      <c r="F648"/>
      <c r="G648"/>
      <c r="H648"/>
      <c r="I648" s="474"/>
    </row>
    <row r="649" spans="6:9" ht="12.75">
      <c r="F649"/>
      <c r="G649"/>
      <c r="H649"/>
      <c r="I649" s="474"/>
    </row>
    <row r="650" spans="6:9" ht="12.75">
      <c r="F650"/>
      <c r="G650"/>
      <c r="H650"/>
      <c r="I650" s="474"/>
    </row>
    <row r="651" spans="6:9" ht="12.75">
      <c r="F651"/>
      <c r="G651"/>
      <c r="H651"/>
      <c r="I651" s="474"/>
    </row>
    <row r="652" spans="6:9" ht="12.75">
      <c r="F652"/>
      <c r="G652"/>
      <c r="H652"/>
      <c r="I652" s="474"/>
    </row>
    <row r="653" spans="6:9" ht="12.75">
      <c r="F653"/>
      <c r="G653"/>
      <c r="H653"/>
      <c r="I653" s="474"/>
    </row>
    <row r="654" spans="6:9" ht="12.75">
      <c r="F654"/>
      <c r="G654"/>
      <c r="H654"/>
      <c r="I654" s="474"/>
    </row>
    <row r="655" spans="6:9" ht="12.75">
      <c r="F655"/>
      <c r="G655"/>
      <c r="H655"/>
      <c r="I655" s="474"/>
    </row>
    <row r="656" spans="6:9" ht="12.75">
      <c r="F656"/>
      <c r="G656"/>
      <c r="H656"/>
      <c r="I656" s="474"/>
    </row>
    <row r="657" spans="6:9" ht="12.75">
      <c r="F657"/>
      <c r="G657"/>
      <c r="H657"/>
      <c r="I657" s="474"/>
    </row>
    <row r="658" spans="6:9" ht="12.75">
      <c r="F658"/>
      <c r="G658"/>
      <c r="H658"/>
      <c r="I658" s="474"/>
    </row>
    <row r="659" spans="6:9" ht="12.75">
      <c r="F659"/>
      <c r="G659"/>
      <c r="H659"/>
      <c r="I659" s="474"/>
    </row>
    <row r="660" spans="6:9" ht="12.75">
      <c r="F660"/>
      <c r="G660"/>
      <c r="H660"/>
      <c r="I660" s="474"/>
    </row>
    <row r="661" spans="6:9" ht="12.75">
      <c r="F661"/>
      <c r="G661"/>
      <c r="H661"/>
      <c r="I661" s="474"/>
    </row>
    <row r="662" spans="6:9" ht="12.75">
      <c r="F662"/>
      <c r="G662"/>
      <c r="H662"/>
      <c r="I662" s="474"/>
    </row>
    <row r="663" spans="6:9" ht="12.75">
      <c r="F663"/>
      <c r="G663"/>
      <c r="H663"/>
      <c r="I663" s="474"/>
    </row>
    <row r="664" spans="6:9" ht="12.75">
      <c r="F664"/>
      <c r="G664"/>
      <c r="H664"/>
      <c r="I664" s="474"/>
    </row>
    <row r="665" spans="6:9" ht="12.75">
      <c r="F665"/>
      <c r="G665"/>
      <c r="H665"/>
      <c r="I665" s="474"/>
    </row>
    <row r="666" spans="6:9" ht="12.75">
      <c r="F666"/>
      <c r="G666"/>
      <c r="H666"/>
      <c r="I666" s="474"/>
    </row>
    <row r="667" spans="6:9" ht="12.75">
      <c r="F667"/>
      <c r="G667"/>
      <c r="H667"/>
      <c r="I667" s="474"/>
    </row>
    <row r="668" spans="6:9" ht="12.75">
      <c r="F668"/>
      <c r="G668"/>
      <c r="H668"/>
      <c r="I668" s="474"/>
    </row>
    <row r="669" spans="6:9" ht="12.75">
      <c r="F669"/>
      <c r="G669"/>
      <c r="H669"/>
      <c r="I669" s="474"/>
    </row>
    <row r="670" spans="6:9" ht="12.75">
      <c r="F670"/>
      <c r="G670"/>
      <c r="H670"/>
      <c r="I670" s="474"/>
    </row>
    <row r="671" spans="6:9" ht="12.75">
      <c r="F671"/>
      <c r="G671"/>
      <c r="H671"/>
      <c r="I671" s="474"/>
    </row>
    <row r="672" spans="6:9" ht="12.75">
      <c r="F672"/>
      <c r="G672"/>
      <c r="H672"/>
      <c r="I672" s="474"/>
    </row>
    <row r="673" spans="6:9" ht="12.75">
      <c r="F673"/>
      <c r="G673"/>
      <c r="H673"/>
      <c r="I673" s="474"/>
    </row>
    <row r="674" spans="6:9" ht="12.75">
      <c r="F674"/>
      <c r="G674"/>
      <c r="H674"/>
      <c r="I674" s="474"/>
    </row>
    <row r="675" spans="6:9" ht="12.75">
      <c r="F675"/>
      <c r="G675"/>
      <c r="H675"/>
      <c r="I675" s="474"/>
    </row>
    <row r="676" spans="6:9" ht="12.75">
      <c r="F676"/>
      <c r="G676"/>
      <c r="H676"/>
      <c r="I676" s="474"/>
    </row>
    <row r="677" spans="6:9" ht="12.75">
      <c r="F677"/>
      <c r="G677"/>
      <c r="H677"/>
      <c r="I677" s="474"/>
    </row>
    <row r="678" spans="6:9" ht="12.75">
      <c r="F678"/>
      <c r="G678"/>
      <c r="H678"/>
      <c r="I678" s="474"/>
    </row>
    <row r="679" spans="6:9" ht="12.75">
      <c r="F679"/>
      <c r="G679"/>
      <c r="H679"/>
      <c r="I679" s="474"/>
    </row>
    <row r="680" spans="6:9" ht="12.75">
      <c r="F680"/>
      <c r="G680"/>
      <c r="H680"/>
      <c r="I680" s="474"/>
    </row>
    <row r="681" spans="6:9" ht="12.75">
      <c r="F681"/>
      <c r="G681"/>
      <c r="H681"/>
      <c r="I681" s="474"/>
    </row>
    <row r="682" spans="6:9" ht="12.75">
      <c r="F682"/>
      <c r="G682"/>
      <c r="H682"/>
      <c r="I682" s="474"/>
    </row>
    <row r="683" spans="6:9" ht="12.75">
      <c r="F683"/>
      <c r="G683"/>
      <c r="H683"/>
      <c r="I683" s="474"/>
    </row>
    <row r="684" spans="6:9" ht="12.75">
      <c r="F684"/>
      <c r="G684"/>
      <c r="H684"/>
      <c r="I684" s="474"/>
    </row>
    <row r="685" spans="6:9" ht="12.75">
      <c r="F685"/>
      <c r="G685"/>
      <c r="H685"/>
      <c r="I685" s="474"/>
    </row>
    <row r="686" spans="6:9" ht="12.75">
      <c r="F686"/>
      <c r="G686"/>
      <c r="H686"/>
      <c r="I686" s="474"/>
    </row>
    <row r="687" spans="6:9" ht="12.75">
      <c r="F687"/>
      <c r="G687"/>
      <c r="H687"/>
      <c r="I687" s="474"/>
    </row>
    <row r="688" spans="6:9" ht="12.75">
      <c r="F688"/>
      <c r="G688"/>
      <c r="H688"/>
      <c r="I688" s="474"/>
    </row>
    <row r="689" spans="6:9" ht="12.75">
      <c r="F689"/>
      <c r="G689"/>
      <c r="H689"/>
      <c r="I689" s="474"/>
    </row>
    <row r="690" spans="6:9" ht="12.75">
      <c r="F690"/>
      <c r="G690"/>
      <c r="H690"/>
      <c r="I690" s="474"/>
    </row>
    <row r="691" spans="6:9" ht="12.75">
      <c r="F691"/>
      <c r="G691"/>
      <c r="H691"/>
      <c r="I691" s="474"/>
    </row>
    <row r="692" spans="6:9" ht="12.75">
      <c r="F692"/>
      <c r="G692"/>
      <c r="H692"/>
      <c r="I692" s="474"/>
    </row>
    <row r="693" spans="6:9" ht="12.75">
      <c r="F693"/>
      <c r="G693"/>
      <c r="H693"/>
      <c r="I693" s="474"/>
    </row>
    <row r="694" spans="6:9" ht="12.75">
      <c r="F694"/>
      <c r="G694"/>
      <c r="H694"/>
      <c r="I694" s="474"/>
    </row>
    <row r="695" spans="6:9" ht="12.75">
      <c r="F695"/>
      <c r="G695"/>
      <c r="H695"/>
      <c r="I695" s="474"/>
    </row>
    <row r="696" spans="6:9" ht="12.75">
      <c r="F696"/>
      <c r="G696"/>
      <c r="H696"/>
      <c r="I696" s="474"/>
    </row>
    <row r="697" spans="6:9" ht="12.75">
      <c r="F697"/>
      <c r="G697"/>
      <c r="H697"/>
      <c r="I697" s="474"/>
    </row>
    <row r="698" spans="6:9" ht="12.75">
      <c r="F698"/>
      <c r="G698"/>
      <c r="H698"/>
      <c r="I698" s="474"/>
    </row>
    <row r="699" spans="6:9" ht="12.75">
      <c r="F699"/>
      <c r="G699"/>
      <c r="H699"/>
      <c r="I699" s="474"/>
    </row>
    <row r="700" spans="6:9" ht="12.75">
      <c r="F700"/>
      <c r="G700"/>
      <c r="H700"/>
      <c r="I700" s="474"/>
    </row>
    <row r="701" spans="6:9" ht="12.75">
      <c r="F701"/>
      <c r="G701"/>
      <c r="H701"/>
      <c r="I701" s="474"/>
    </row>
    <row r="702" spans="6:9" ht="12.75">
      <c r="F702"/>
      <c r="G702"/>
      <c r="H702"/>
      <c r="I702" s="474"/>
    </row>
    <row r="703" spans="6:9" ht="12.75">
      <c r="F703"/>
      <c r="G703"/>
      <c r="H703"/>
      <c r="I703" s="474"/>
    </row>
    <row r="704" spans="6:9" ht="12.75">
      <c r="F704"/>
      <c r="G704"/>
      <c r="H704"/>
      <c r="I704" s="474"/>
    </row>
    <row r="705" spans="6:9" ht="12.75">
      <c r="F705"/>
      <c r="G705"/>
      <c r="H705"/>
      <c r="I705" s="474"/>
    </row>
    <row r="706" spans="6:9" ht="12.75">
      <c r="F706"/>
      <c r="G706"/>
      <c r="H706"/>
      <c r="I706" s="474"/>
    </row>
    <row r="707" spans="6:9" ht="12.75">
      <c r="F707"/>
      <c r="G707"/>
      <c r="H707"/>
      <c r="I707" s="474"/>
    </row>
    <row r="708" spans="6:9" ht="12.75">
      <c r="F708"/>
      <c r="G708"/>
      <c r="H708"/>
      <c r="I708" s="474"/>
    </row>
    <row r="709" spans="6:9" ht="12.75">
      <c r="F709"/>
      <c r="G709"/>
      <c r="H709"/>
      <c r="I709" s="474"/>
    </row>
    <row r="710" spans="6:9" ht="12.75">
      <c r="F710"/>
      <c r="G710"/>
      <c r="H710"/>
      <c r="I710" s="474"/>
    </row>
    <row r="711" spans="6:9" ht="12.75">
      <c r="F711"/>
      <c r="G711"/>
      <c r="H711"/>
      <c r="I711" s="474"/>
    </row>
    <row r="712" spans="6:9" ht="12.75">
      <c r="F712"/>
      <c r="G712"/>
      <c r="H712"/>
      <c r="I712" s="474"/>
    </row>
    <row r="713" spans="6:9" ht="12.75">
      <c r="F713"/>
      <c r="G713"/>
      <c r="H713"/>
      <c r="I713" s="474"/>
    </row>
    <row r="714" spans="6:9" ht="12.75">
      <c r="F714"/>
      <c r="G714"/>
      <c r="H714"/>
      <c r="I714" s="474"/>
    </row>
    <row r="715" spans="6:9" ht="12.75">
      <c r="F715"/>
      <c r="G715"/>
      <c r="H715"/>
      <c r="I715" s="474"/>
    </row>
    <row r="716" spans="6:9" ht="12.75">
      <c r="F716"/>
      <c r="G716"/>
      <c r="H716"/>
      <c r="I716" s="474"/>
    </row>
    <row r="717" spans="6:9" ht="12.75">
      <c r="F717"/>
      <c r="G717"/>
      <c r="H717"/>
      <c r="I717" s="474"/>
    </row>
    <row r="718" spans="6:9" ht="12.75">
      <c r="F718"/>
      <c r="G718"/>
      <c r="H718"/>
      <c r="I718" s="474"/>
    </row>
    <row r="719" spans="6:9" ht="12.75">
      <c r="F719"/>
      <c r="G719"/>
      <c r="H719"/>
      <c r="I719" s="474"/>
    </row>
    <row r="720" spans="6:9" ht="12.75">
      <c r="F720"/>
      <c r="G720"/>
      <c r="H720"/>
      <c r="I720" s="474"/>
    </row>
    <row r="721" spans="6:9" ht="12.75">
      <c r="F721"/>
      <c r="G721"/>
      <c r="H721"/>
      <c r="I721" s="474"/>
    </row>
    <row r="722" spans="6:9" ht="12.75">
      <c r="F722"/>
      <c r="G722"/>
      <c r="H722"/>
      <c r="I722" s="474"/>
    </row>
    <row r="723" spans="6:9" ht="12.75">
      <c r="F723"/>
      <c r="G723"/>
      <c r="H723"/>
      <c r="I723" s="474"/>
    </row>
    <row r="724" spans="6:9" ht="12.75">
      <c r="F724"/>
      <c r="G724"/>
      <c r="H724"/>
      <c r="I724" s="474"/>
    </row>
    <row r="725" spans="6:9" ht="12.75">
      <c r="F725"/>
      <c r="G725"/>
      <c r="H725"/>
      <c r="I725" s="474"/>
    </row>
    <row r="726" spans="6:9" ht="12.75">
      <c r="F726"/>
      <c r="G726"/>
      <c r="H726"/>
      <c r="I726" s="474"/>
    </row>
    <row r="727" spans="6:9" ht="12.75">
      <c r="F727"/>
      <c r="G727"/>
      <c r="H727"/>
      <c r="I727" s="474"/>
    </row>
    <row r="728" spans="6:9" ht="12.75">
      <c r="F728"/>
      <c r="G728"/>
      <c r="H728"/>
      <c r="I728" s="474"/>
    </row>
    <row r="729" spans="6:9" ht="12.75">
      <c r="F729"/>
      <c r="G729"/>
      <c r="H729"/>
      <c r="I729" s="474"/>
    </row>
    <row r="730" spans="6:9" ht="12.75">
      <c r="F730"/>
      <c r="G730"/>
      <c r="H730"/>
      <c r="I730" s="474"/>
    </row>
    <row r="731" spans="6:9" ht="12.75">
      <c r="F731"/>
      <c r="G731"/>
      <c r="H731"/>
      <c r="I731" s="474"/>
    </row>
    <row r="732" spans="6:9" ht="12.75">
      <c r="F732"/>
      <c r="G732"/>
      <c r="H732"/>
      <c r="I732" s="474"/>
    </row>
    <row r="733" spans="6:9" ht="12.75">
      <c r="F733"/>
      <c r="G733"/>
      <c r="H733"/>
      <c r="I733" s="474"/>
    </row>
    <row r="734" spans="6:9" ht="12.75">
      <c r="F734"/>
      <c r="G734"/>
      <c r="H734"/>
      <c r="I734" s="474"/>
    </row>
    <row r="735" spans="6:9" ht="12.75">
      <c r="F735"/>
      <c r="G735"/>
      <c r="H735"/>
      <c r="I735" s="474"/>
    </row>
    <row r="736" spans="6:9" ht="12.75">
      <c r="F736"/>
      <c r="G736"/>
      <c r="H736"/>
      <c r="I736" s="474"/>
    </row>
    <row r="737" spans="6:9" ht="12.75">
      <c r="F737"/>
      <c r="G737"/>
      <c r="H737"/>
      <c r="I737" s="474"/>
    </row>
    <row r="738" spans="6:9" ht="12.75">
      <c r="F738"/>
      <c r="G738"/>
      <c r="H738"/>
      <c r="I738" s="474"/>
    </row>
    <row r="739" spans="6:9" ht="12.75">
      <c r="F739"/>
      <c r="G739"/>
      <c r="H739"/>
      <c r="I739" s="474"/>
    </row>
    <row r="740" spans="6:9" ht="12.75">
      <c r="F740"/>
      <c r="G740"/>
      <c r="H740"/>
      <c r="I740" s="474"/>
    </row>
    <row r="741" spans="6:9" ht="12.75">
      <c r="F741"/>
      <c r="G741"/>
      <c r="H741"/>
      <c r="I741" s="474"/>
    </row>
    <row r="742" spans="6:9" ht="12.75">
      <c r="F742"/>
      <c r="G742"/>
      <c r="H742"/>
      <c r="I742" s="474"/>
    </row>
    <row r="743" spans="6:9" ht="12.75">
      <c r="F743"/>
      <c r="G743"/>
      <c r="H743"/>
      <c r="I743" s="474"/>
    </row>
    <row r="744" spans="6:9" ht="12.75">
      <c r="F744"/>
      <c r="G744"/>
      <c r="H744"/>
      <c r="I744" s="474"/>
    </row>
    <row r="745" spans="6:9" ht="12.75">
      <c r="F745"/>
      <c r="G745"/>
      <c r="H745"/>
      <c r="I745" s="474"/>
    </row>
    <row r="746" spans="6:9" ht="12.75">
      <c r="F746"/>
      <c r="G746"/>
      <c r="H746"/>
      <c r="I746" s="474"/>
    </row>
    <row r="747" spans="6:9" ht="12.75">
      <c r="F747"/>
      <c r="G747"/>
      <c r="H747"/>
      <c r="I747" s="474"/>
    </row>
    <row r="748" spans="6:9" ht="12.75">
      <c r="F748"/>
      <c r="G748"/>
      <c r="H748"/>
      <c r="I748" s="474"/>
    </row>
    <row r="749" spans="6:9" ht="12.75">
      <c r="F749"/>
      <c r="G749"/>
      <c r="H749"/>
      <c r="I749" s="474"/>
    </row>
    <row r="750" spans="6:9" ht="12.75">
      <c r="F750"/>
      <c r="G750"/>
      <c r="H750"/>
      <c r="I750" s="474"/>
    </row>
    <row r="751" spans="6:9" ht="12.75">
      <c r="F751"/>
      <c r="G751"/>
      <c r="H751"/>
      <c r="I751" s="474"/>
    </row>
    <row r="752" spans="6:9" ht="12.75">
      <c r="F752"/>
      <c r="G752"/>
      <c r="H752"/>
      <c r="I752" s="474"/>
    </row>
    <row r="753" spans="6:9" ht="12.75">
      <c r="F753"/>
      <c r="G753"/>
      <c r="H753"/>
      <c r="I753" s="474"/>
    </row>
    <row r="754" spans="6:9" ht="12.75">
      <c r="F754"/>
      <c r="G754"/>
      <c r="H754"/>
      <c r="I754" s="474"/>
    </row>
    <row r="755" spans="6:9" ht="12.75">
      <c r="F755"/>
      <c r="G755"/>
      <c r="H755"/>
      <c r="I755" s="474"/>
    </row>
    <row r="756" spans="6:9" ht="12.75">
      <c r="F756"/>
      <c r="G756"/>
      <c r="H756"/>
      <c r="I756" s="474"/>
    </row>
    <row r="757" spans="6:9" ht="12.75">
      <c r="F757"/>
      <c r="G757"/>
      <c r="H757"/>
      <c r="I757" s="474"/>
    </row>
    <row r="758" spans="6:9" ht="12.75">
      <c r="F758"/>
      <c r="G758"/>
      <c r="H758"/>
      <c r="I758" s="474"/>
    </row>
    <row r="759" spans="6:9" ht="12.75">
      <c r="F759"/>
      <c r="G759"/>
      <c r="H759"/>
      <c r="I759" s="474"/>
    </row>
    <row r="760" spans="6:9" ht="12.75">
      <c r="F760"/>
      <c r="G760"/>
      <c r="H760"/>
      <c r="I760" s="474"/>
    </row>
    <row r="761" spans="6:9" ht="12.75">
      <c r="F761"/>
      <c r="G761"/>
      <c r="H761"/>
      <c r="I761" s="474"/>
    </row>
    <row r="762" spans="6:9" ht="12.75">
      <c r="F762"/>
      <c r="G762"/>
      <c r="H762"/>
      <c r="I762" s="474"/>
    </row>
    <row r="763" spans="6:9" ht="12.75">
      <c r="F763"/>
      <c r="G763"/>
      <c r="H763"/>
      <c r="I763" s="474"/>
    </row>
    <row r="764" spans="6:9" ht="12.75">
      <c r="F764"/>
      <c r="G764"/>
      <c r="H764"/>
      <c r="I764" s="474"/>
    </row>
    <row r="765" spans="6:9" ht="12.75">
      <c r="F765"/>
      <c r="G765"/>
      <c r="H765"/>
      <c r="I765" s="474"/>
    </row>
    <row r="766" spans="6:9" ht="12.75">
      <c r="F766"/>
      <c r="G766"/>
      <c r="H766"/>
      <c r="I766" s="474"/>
    </row>
    <row r="767" spans="6:9" ht="12.75">
      <c r="F767"/>
      <c r="G767"/>
      <c r="H767"/>
      <c r="I767" s="474"/>
    </row>
    <row r="768" spans="6:9" ht="12.75">
      <c r="F768"/>
      <c r="G768"/>
      <c r="H768"/>
      <c r="I768" s="474"/>
    </row>
    <row r="769" spans="6:9" ht="12.75">
      <c r="F769"/>
      <c r="G769"/>
      <c r="H769"/>
      <c r="I769" s="474"/>
    </row>
    <row r="770" spans="6:9" ht="12.75">
      <c r="F770"/>
      <c r="G770"/>
      <c r="H770"/>
      <c r="I770" s="474"/>
    </row>
    <row r="771" spans="6:9" ht="12.75">
      <c r="F771"/>
      <c r="G771"/>
      <c r="H771"/>
      <c r="I771" s="474"/>
    </row>
    <row r="772" spans="6:9" ht="12.75">
      <c r="F772"/>
      <c r="G772"/>
      <c r="H772"/>
      <c r="I772" s="474"/>
    </row>
    <row r="773" spans="6:9" ht="12.75">
      <c r="F773"/>
      <c r="G773"/>
      <c r="H773"/>
      <c r="I773" s="474"/>
    </row>
    <row r="774" spans="6:9" ht="12.75">
      <c r="F774"/>
      <c r="G774"/>
      <c r="H774"/>
      <c r="I774" s="474"/>
    </row>
    <row r="775" spans="6:9" ht="12.75">
      <c r="F775"/>
      <c r="G775"/>
      <c r="H775"/>
      <c r="I775" s="474"/>
    </row>
    <row r="776" spans="6:9" ht="12.75">
      <c r="F776"/>
      <c r="G776"/>
      <c r="H776"/>
      <c r="I776" s="474"/>
    </row>
    <row r="777" spans="6:9" ht="12.75">
      <c r="F777"/>
      <c r="G777"/>
      <c r="H777"/>
      <c r="I777" s="474"/>
    </row>
    <row r="778" spans="6:9" ht="12.75">
      <c r="F778"/>
      <c r="G778"/>
      <c r="H778"/>
      <c r="I778" s="474"/>
    </row>
    <row r="779" spans="6:9" ht="12.75">
      <c r="F779"/>
      <c r="G779"/>
      <c r="H779"/>
      <c r="I779" s="474"/>
    </row>
    <row r="780" spans="6:9" ht="12.75">
      <c r="F780"/>
      <c r="G780"/>
      <c r="H780"/>
      <c r="I780" s="474"/>
    </row>
    <row r="781" spans="6:9" ht="12.75">
      <c r="F781"/>
      <c r="G781"/>
      <c r="H781"/>
      <c r="I781" s="474"/>
    </row>
    <row r="782" spans="6:9" ht="12.75">
      <c r="F782"/>
      <c r="G782"/>
      <c r="H782"/>
      <c r="I782" s="474"/>
    </row>
    <row r="783" spans="6:9" ht="12.75">
      <c r="F783"/>
      <c r="G783"/>
      <c r="H783"/>
      <c r="I783" s="474"/>
    </row>
    <row r="784" spans="6:9" ht="12.75">
      <c r="F784"/>
      <c r="G784"/>
      <c r="H784"/>
      <c r="I784" s="474"/>
    </row>
    <row r="785" spans="6:9" ht="12.75">
      <c r="F785"/>
      <c r="G785"/>
      <c r="H785"/>
      <c r="I785" s="474"/>
    </row>
    <row r="786" spans="6:9" ht="12.75">
      <c r="F786"/>
      <c r="G786"/>
      <c r="H786"/>
      <c r="I786" s="474"/>
    </row>
    <row r="787" spans="6:9" ht="12.75">
      <c r="F787"/>
      <c r="G787"/>
      <c r="H787"/>
      <c r="I787" s="474"/>
    </row>
    <row r="788" spans="6:9" ht="12.75">
      <c r="F788"/>
      <c r="G788"/>
      <c r="H788"/>
      <c r="I788" s="474"/>
    </row>
    <row r="789" spans="6:9" ht="12.75">
      <c r="F789"/>
      <c r="G789"/>
      <c r="H789"/>
      <c r="I789" s="474"/>
    </row>
    <row r="790" spans="6:9" ht="12.75">
      <c r="F790"/>
      <c r="G790"/>
      <c r="H790"/>
      <c r="I790" s="474"/>
    </row>
    <row r="791" spans="6:9" ht="12.75">
      <c r="F791"/>
      <c r="G791"/>
      <c r="H791"/>
      <c r="I791" s="474"/>
    </row>
    <row r="792" spans="6:9" ht="12.75">
      <c r="F792"/>
      <c r="G792"/>
      <c r="H792"/>
      <c r="I792" s="474"/>
    </row>
    <row r="793" spans="6:9" ht="12.75">
      <c r="F793"/>
      <c r="G793"/>
      <c r="H793"/>
      <c r="I793" s="474"/>
    </row>
    <row r="794" spans="6:9" ht="12.75">
      <c r="F794"/>
      <c r="G794"/>
      <c r="H794"/>
      <c r="I794" s="474"/>
    </row>
    <row r="795" spans="6:9" ht="12.75">
      <c r="F795"/>
      <c r="G795"/>
      <c r="H795"/>
      <c r="I795" s="474"/>
    </row>
    <row r="796" spans="6:9" ht="12.75">
      <c r="F796"/>
      <c r="G796"/>
      <c r="H796"/>
      <c r="I796" s="474"/>
    </row>
    <row r="797" spans="6:9" ht="12.75">
      <c r="F797"/>
      <c r="G797"/>
      <c r="H797"/>
      <c r="I797" s="474"/>
    </row>
    <row r="798" spans="6:9" ht="12.75">
      <c r="F798"/>
      <c r="G798"/>
      <c r="H798"/>
      <c r="I798" s="474"/>
    </row>
    <row r="799" spans="6:9" ht="12.75">
      <c r="F799"/>
      <c r="G799"/>
      <c r="H799"/>
      <c r="I799" s="474"/>
    </row>
    <row r="800" spans="6:9" ht="12.75">
      <c r="F800"/>
      <c r="G800"/>
      <c r="H800"/>
      <c r="I800" s="474"/>
    </row>
    <row r="801" spans="6:9" ht="12.75">
      <c r="F801"/>
      <c r="G801"/>
      <c r="H801"/>
      <c r="I801" s="474"/>
    </row>
    <row r="802" spans="6:9" ht="12.75">
      <c r="F802"/>
      <c r="G802"/>
      <c r="H802"/>
      <c r="I802" s="474"/>
    </row>
    <row r="803" spans="6:9" ht="12.75">
      <c r="F803"/>
      <c r="G803"/>
      <c r="H803"/>
      <c r="I803" s="474"/>
    </row>
    <row r="804" spans="6:9" ht="12.75">
      <c r="F804"/>
      <c r="G804"/>
      <c r="H804"/>
      <c r="I804" s="474"/>
    </row>
    <row r="805" spans="6:9" ht="12.75">
      <c r="F805"/>
      <c r="G805"/>
      <c r="H805"/>
      <c r="I805" s="474"/>
    </row>
    <row r="806" spans="6:9" ht="12.75">
      <c r="F806"/>
      <c r="G806"/>
      <c r="H806"/>
      <c r="I806" s="474"/>
    </row>
    <row r="807" spans="6:9" ht="12.75">
      <c r="F807"/>
      <c r="G807"/>
      <c r="H807"/>
      <c r="I807" s="474"/>
    </row>
    <row r="808" spans="6:9" ht="12.75">
      <c r="F808"/>
      <c r="G808"/>
      <c r="H808"/>
      <c r="I808" s="474"/>
    </row>
    <row r="809" spans="6:9" ht="12.75">
      <c r="F809"/>
      <c r="G809"/>
      <c r="H809"/>
      <c r="I809" s="474"/>
    </row>
    <row r="810" spans="6:9" ht="12.75">
      <c r="F810"/>
      <c r="G810"/>
      <c r="H810"/>
      <c r="I810" s="474"/>
    </row>
    <row r="811" spans="6:9" ht="12.75">
      <c r="F811"/>
      <c r="G811"/>
      <c r="H811"/>
      <c r="I811" s="474"/>
    </row>
    <row r="812" spans="6:9" ht="12.75">
      <c r="F812"/>
      <c r="G812"/>
      <c r="H812"/>
      <c r="I812" s="474"/>
    </row>
    <row r="813" spans="6:9" ht="12.75">
      <c r="F813"/>
      <c r="G813"/>
      <c r="H813"/>
      <c r="I813" s="474"/>
    </row>
    <row r="814" spans="6:9" ht="12.75">
      <c r="F814"/>
      <c r="G814"/>
      <c r="H814"/>
      <c r="I814" s="474"/>
    </row>
    <row r="815" spans="6:9" ht="12.75">
      <c r="F815"/>
      <c r="G815"/>
      <c r="H815"/>
      <c r="I815" s="474"/>
    </row>
    <row r="816" spans="6:9" ht="12.75">
      <c r="F816"/>
      <c r="G816"/>
      <c r="H816"/>
      <c r="I816" s="474"/>
    </row>
    <row r="817" spans="6:9" ht="12.75">
      <c r="F817"/>
      <c r="G817"/>
      <c r="H817"/>
      <c r="I817" s="474"/>
    </row>
    <row r="818" spans="6:9" ht="12.75">
      <c r="F818"/>
      <c r="G818"/>
      <c r="H818"/>
      <c r="I818" s="474"/>
    </row>
    <row r="819" spans="6:9" ht="12.75">
      <c r="F819"/>
      <c r="G819"/>
      <c r="H819"/>
      <c r="I819" s="474"/>
    </row>
    <row r="820" spans="6:9" ht="12.75">
      <c r="F820"/>
      <c r="G820"/>
      <c r="H820"/>
      <c r="I820" s="474"/>
    </row>
    <row r="821" spans="6:9" ht="12.75">
      <c r="F821"/>
      <c r="G821"/>
      <c r="H821"/>
      <c r="I821" s="474"/>
    </row>
    <row r="822" spans="6:9" ht="12.75">
      <c r="F822"/>
      <c r="G822"/>
      <c r="H822"/>
      <c r="I822" s="474"/>
    </row>
    <row r="823" spans="6:9" ht="12.75">
      <c r="F823"/>
      <c r="G823"/>
      <c r="H823"/>
      <c r="I823" s="474"/>
    </row>
    <row r="824" spans="6:9" ht="12.75">
      <c r="F824"/>
      <c r="G824"/>
      <c r="H824"/>
      <c r="I824" s="474"/>
    </row>
    <row r="825" spans="6:9" ht="12.75">
      <c r="F825"/>
      <c r="G825"/>
      <c r="H825"/>
      <c r="I825" s="474"/>
    </row>
    <row r="826" spans="6:9" ht="12.75">
      <c r="F826"/>
      <c r="G826"/>
      <c r="H826"/>
      <c r="I826" s="474"/>
    </row>
    <row r="827" spans="6:9" ht="12.75">
      <c r="F827"/>
      <c r="G827"/>
      <c r="H827"/>
      <c r="I827" s="474"/>
    </row>
    <row r="828" spans="6:9" ht="12.75">
      <c r="F828"/>
      <c r="G828"/>
      <c r="H828"/>
      <c r="I828" s="474"/>
    </row>
    <row r="829" spans="6:9" ht="12.75">
      <c r="F829"/>
      <c r="G829"/>
      <c r="H829"/>
      <c r="I829" s="474"/>
    </row>
    <row r="830" spans="6:9" ht="12.75">
      <c r="F830"/>
      <c r="G830"/>
      <c r="H830"/>
      <c r="I830" s="474"/>
    </row>
    <row r="831" spans="6:9" ht="12.75">
      <c r="F831"/>
      <c r="G831"/>
      <c r="H831"/>
      <c r="I831" s="474"/>
    </row>
    <row r="832" spans="6:9" ht="12.75">
      <c r="F832"/>
      <c r="G832"/>
      <c r="H832"/>
      <c r="I832" s="474"/>
    </row>
    <row r="833" spans="6:9" ht="12.75">
      <c r="F833"/>
      <c r="G833"/>
      <c r="H833"/>
      <c r="I833" s="474"/>
    </row>
    <row r="834" spans="6:9" ht="12.75">
      <c r="F834"/>
      <c r="G834"/>
      <c r="H834"/>
      <c r="I834" s="474"/>
    </row>
    <row r="835" spans="6:9" ht="12.75">
      <c r="F835"/>
      <c r="G835"/>
      <c r="H835"/>
      <c r="I835" s="474"/>
    </row>
    <row r="836" spans="6:9" ht="12.75">
      <c r="F836"/>
      <c r="G836"/>
      <c r="H836"/>
      <c r="I836" s="474"/>
    </row>
    <row r="837" spans="6:9" ht="12.75">
      <c r="F837"/>
      <c r="G837"/>
      <c r="H837"/>
      <c r="I837" s="474"/>
    </row>
    <row r="838" spans="6:9" ht="12.75">
      <c r="F838"/>
      <c r="G838"/>
      <c r="H838"/>
      <c r="I838" s="474"/>
    </row>
    <row r="839" spans="6:9" ht="12.75">
      <c r="F839"/>
      <c r="G839"/>
      <c r="H839"/>
      <c r="I839" s="474"/>
    </row>
    <row r="840" spans="6:9" ht="12.75">
      <c r="F840"/>
      <c r="G840"/>
      <c r="H840"/>
      <c r="I840" s="474"/>
    </row>
    <row r="841" spans="6:9" ht="12.75">
      <c r="F841"/>
      <c r="G841"/>
      <c r="H841"/>
      <c r="I841" s="474"/>
    </row>
    <row r="842" spans="6:9" ht="12.75">
      <c r="F842"/>
      <c r="G842"/>
      <c r="H842"/>
      <c r="I842" s="474"/>
    </row>
    <row r="843" spans="6:9" ht="12.75">
      <c r="F843"/>
      <c r="G843"/>
      <c r="H843"/>
      <c r="I843" s="474"/>
    </row>
    <row r="844" spans="6:9" ht="12.75">
      <c r="F844"/>
      <c r="G844"/>
      <c r="H844"/>
      <c r="I844" s="474"/>
    </row>
    <row r="845" spans="6:9" ht="12.75">
      <c r="F845"/>
      <c r="G845"/>
      <c r="H845"/>
      <c r="I845" s="474"/>
    </row>
    <row r="846" spans="6:9" ht="12.75">
      <c r="F846"/>
      <c r="G846"/>
      <c r="H846"/>
      <c r="I846" s="474"/>
    </row>
    <row r="847" spans="6:9" ht="12.75">
      <c r="F847"/>
      <c r="G847"/>
      <c r="H847"/>
      <c r="I847" s="474"/>
    </row>
    <row r="848" spans="6:9" ht="12.75">
      <c r="F848"/>
      <c r="G848"/>
      <c r="H848"/>
      <c r="I848" s="474"/>
    </row>
    <row r="849" spans="6:9" ht="12.75">
      <c r="F849"/>
      <c r="G849"/>
      <c r="H849"/>
      <c r="I849" s="474"/>
    </row>
    <row r="850" spans="6:9" ht="12.75">
      <c r="F850"/>
      <c r="G850"/>
      <c r="H850"/>
      <c r="I850" s="474"/>
    </row>
    <row r="851" spans="6:9" ht="12.75">
      <c r="F851"/>
      <c r="G851"/>
      <c r="H851"/>
      <c r="I851" s="474"/>
    </row>
    <row r="852" spans="6:9" ht="12.75">
      <c r="F852"/>
      <c r="G852"/>
      <c r="H852"/>
      <c r="I852" s="474"/>
    </row>
    <row r="853" spans="6:9" ht="12.75">
      <c r="F853"/>
      <c r="G853"/>
      <c r="H853"/>
      <c r="I853" s="474"/>
    </row>
    <row r="854" spans="6:9" ht="12.75">
      <c r="F854"/>
      <c r="G854"/>
      <c r="H854"/>
      <c r="I854" s="474"/>
    </row>
    <row r="855" spans="6:9" ht="12.75">
      <c r="F855"/>
      <c r="G855"/>
      <c r="H855"/>
      <c r="I855" s="474"/>
    </row>
    <row r="856" spans="6:9" ht="12.75">
      <c r="F856"/>
      <c r="G856"/>
      <c r="H856"/>
      <c r="I856" s="474"/>
    </row>
    <row r="857" spans="6:9" ht="12.75">
      <c r="F857"/>
      <c r="G857"/>
      <c r="H857"/>
      <c r="I857" s="474"/>
    </row>
    <row r="858" spans="6:9" ht="12.75">
      <c r="F858"/>
      <c r="G858"/>
      <c r="H858"/>
      <c r="I858" s="474"/>
    </row>
    <row r="859" spans="6:9" ht="12.75">
      <c r="F859"/>
      <c r="G859"/>
      <c r="H859"/>
      <c r="I859" s="474"/>
    </row>
    <row r="860" spans="6:9" ht="12.75">
      <c r="F860"/>
      <c r="G860"/>
      <c r="H860"/>
      <c r="I860" s="474"/>
    </row>
    <row r="861" spans="6:9" ht="12.75">
      <c r="F861"/>
      <c r="G861"/>
      <c r="H861"/>
      <c r="I861" s="474"/>
    </row>
    <row r="862" spans="6:9" ht="12.75">
      <c r="F862"/>
      <c r="G862"/>
      <c r="H862"/>
      <c r="I862" s="474"/>
    </row>
    <row r="863" spans="6:9" ht="12.75">
      <c r="F863"/>
      <c r="G863"/>
      <c r="H863"/>
      <c r="I863" s="474"/>
    </row>
    <row r="864" spans="6:9" ht="12.75">
      <c r="F864"/>
      <c r="G864"/>
      <c r="H864"/>
      <c r="I864" s="474"/>
    </row>
    <row r="865" spans="6:9" ht="12.75">
      <c r="F865"/>
      <c r="G865"/>
      <c r="H865"/>
      <c r="I865" s="474"/>
    </row>
    <row r="866" spans="6:9" ht="12.75">
      <c r="F866"/>
      <c r="G866"/>
      <c r="H866"/>
      <c r="I866" s="474"/>
    </row>
    <row r="867" spans="6:9" ht="12.75">
      <c r="F867"/>
      <c r="G867"/>
      <c r="H867"/>
      <c r="I867" s="474"/>
    </row>
    <row r="868" spans="6:9" ht="12.75">
      <c r="F868"/>
      <c r="G868"/>
      <c r="H868"/>
      <c r="I868" s="474"/>
    </row>
    <row r="869" spans="6:9" ht="12.75">
      <c r="F869"/>
      <c r="G869"/>
      <c r="H869"/>
      <c r="I869" s="474"/>
    </row>
    <row r="870" spans="6:9" ht="12.75">
      <c r="F870"/>
      <c r="G870"/>
      <c r="H870"/>
      <c r="I870" s="474"/>
    </row>
    <row r="871" spans="6:9" ht="12.75">
      <c r="F871"/>
      <c r="G871"/>
      <c r="H871"/>
      <c r="I871" s="474"/>
    </row>
    <row r="872" spans="6:9" ht="12.75">
      <c r="F872"/>
      <c r="G872"/>
      <c r="H872"/>
      <c r="I872" s="474"/>
    </row>
    <row r="873" spans="6:9" ht="12.75">
      <c r="F873"/>
      <c r="G873"/>
      <c r="H873"/>
      <c r="I873" s="474"/>
    </row>
    <row r="874" spans="6:9" ht="12.75">
      <c r="F874"/>
      <c r="G874"/>
      <c r="H874"/>
      <c r="I874" s="474"/>
    </row>
    <row r="875" spans="6:9" ht="12.75">
      <c r="F875"/>
      <c r="G875"/>
      <c r="H875"/>
      <c r="I875" s="474"/>
    </row>
    <row r="876" spans="6:9" ht="12.75">
      <c r="F876"/>
      <c r="G876"/>
      <c r="H876"/>
      <c r="I876" s="474"/>
    </row>
    <row r="877" spans="6:9" ht="12.75">
      <c r="F877"/>
      <c r="G877"/>
      <c r="H877"/>
      <c r="I877" s="474"/>
    </row>
    <row r="878" spans="6:9" ht="12.75">
      <c r="F878"/>
      <c r="G878"/>
      <c r="H878"/>
      <c r="I878" s="474"/>
    </row>
    <row r="879" spans="6:9" ht="12.75">
      <c r="F879"/>
      <c r="G879"/>
      <c r="H879"/>
      <c r="I879" s="474"/>
    </row>
    <row r="880" spans="6:9" ht="12.75">
      <c r="F880"/>
      <c r="G880"/>
      <c r="H880"/>
      <c r="I880" s="474"/>
    </row>
    <row r="881" spans="6:9" ht="12.75">
      <c r="F881"/>
      <c r="G881"/>
      <c r="H881"/>
      <c r="I881" s="474"/>
    </row>
    <row r="882" spans="6:9" ht="12.75">
      <c r="F882"/>
      <c r="G882"/>
      <c r="H882"/>
      <c r="I882" s="474"/>
    </row>
    <row r="883" spans="6:9" ht="12.75">
      <c r="F883"/>
      <c r="G883"/>
      <c r="H883"/>
      <c r="I883" s="474"/>
    </row>
    <row r="884" spans="6:9" ht="12.75">
      <c r="F884"/>
      <c r="G884"/>
      <c r="H884"/>
      <c r="I884" s="474"/>
    </row>
    <row r="885" spans="6:9" ht="12.75">
      <c r="F885"/>
      <c r="G885"/>
      <c r="H885"/>
      <c r="I885" s="474"/>
    </row>
    <row r="886" spans="6:9" ht="12.75">
      <c r="F886"/>
      <c r="G886"/>
      <c r="H886"/>
      <c r="I886" s="474"/>
    </row>
    <row r="887" spans="6:9" ht="12.75">
      <c r="F887"/>
      <c r="G887"/>
      <c r="H887"/>
      <c r="I887" s="474"/>
    </row>
    <row r="888" spans="6:9" ht="12.75">
      <c r="F888"/>
      <c r="G888"/>
      <c r="H888"/>
      <c r="I888" s="474"/>
    </row>
    <row r="889" spans="6:9" ht="12.75">
      <c r="F889"/>
      <c r="G889"/>
      <c r="H889"/>
      <c r="I889" s="474"/>
    </row>
    <row r="890" spans="6:9" ht="12.75">
      <c r="F890"/>
      <c r="G890"/>
      <c r="H890"/>
      <c r="I890" s="474"/>
    </row>
    <row r="891" spans="6:9" ht="12.75">
      <c r="F891"/>
      <c r="G891"/>
      <c r="H891"/>
      <c r="I891" s="474"/>
    </row>
    <row r="892" spans="6:9" ht="12.75">
      <c r="F892"/>
      <c r="G892"/>
      <c r="H892"/>
      <c r="I892" s="474"/>
    </row>
    <row r="893" spans="6:9" ht="12.75">
      <c r="F893"/>
      <c r="G893"/>
      <c r="H893"/>
      <c r="I893" s="474"/>
    </row>
    <row r="894" spans="6:9" ht="12.75">
      <c r="F894"/>
      <c r="G894"/>
      <c r="H894"/>
      <c r="I894" s="474"/>
    </row>
    <row r="895" spans="6:9" ht="12.75">
      <c r="F895"/>
      <c r="G895"/>
      <c r="H895"/>
      <c r="I895" s="474"/>
    </row>
    <row r="896" spans="6:9" ht="12.75">
      <c r="F896"/>
      <c r="G896"/>
      <c r="H896"/>
      <c r="I896" s="474"/>
    </row>
    <row r="897" spans="6:9" ht="12.75">
      <c r="F897"/>
      <c r="G897"/>
      <c r="H897"/>
      <c r="I897" s="474"/>
    </row>
    <row r="898" spans="6:9" ht="12.75">
      <c r="F898"/>
      <c r="G898"/>
      <c r="H898"/>
      <c r="I898" s="474"/>
    </row>
    <row r="899" spans="6:9" ht="12.75">
      <c r="F899"/>
      <c r="G899"/>
      <c r="H899"/>
      <c r="I899" s="474"/>
    </row>
    <row r="900" spans="6:9" ht="12.75">
      <c r="F900"/>
      <c r="G900"/>
      <c r="H900"/>
      <c r="I900" s="474"/>
    </row>
    <row r="901" spans="6:9" ht="12.75">
      <c r="F901"/>
      <c r="G901"/>
      <c r="H901"/>
      <c r="I901" s="474"/>
    </row>
    <row r="902" spans="6:9" ht="12.75">
      <c r="F902"/>
      <c r="G902"/>
      <c r="H902"/>
      <c r="I902" s="474"/>
    </row>
    <row r="903" spans="6:9" ht="12.75">
      <c r="F903"/>
      <c r="G903"/>
      <c r="H903"/>
      <c r="I903" s="474"/>
    </row>
    <row r="904" spans="6:9" ht="12.75">
      <c r="F904"/>
      <c r="G904"/>
      <c r="H904"/>
      <c r="I904" s="474"/>
    </row>
    <row r="905" spans="6:9" ht="12.75">
      <c r="F905"/>
      <c r="G905"/>
      <c r="H905"/>
      <c r="I905" s="474"/>
    </row>
    <row r="906" spans="6:9" ht="12.75">
      <c r="F906"/>
      <c r="G906"/>
      <c r="H906"/>
      <c r="I906" s="474"/>
    </row>
    <row r="907" spans="6:9" ht="12.75">
      <c r="F907"/>
      <c r="G907"/>
      <c r="H907"/>
      <c r="I907" s="474"/>
    </row>
    <row r="908" spans="6:9" ht="12.75">
      <c r="F908"/>
      <c r="G908"/>
      <c r="H908"/>
      <c r="I908" s="474"/>
    </row>
    <row r="909" spans="6:9" ht="12.75">
      <c r="F909"/>
      <c r="G909"/>
      <c r="H909"/>
      <c r="I909" s="474"/>
    </row>
    <row r="910" spans="6:9" ht="12.75">
      <c r="F910"/>
      <c r="G910"/>
      <c r="H910"/>
      <c r="I910" s="474"/>
    </row>
    <row r="911" spans="6:9" ht="12.75">
      <c r="F911"/>
      <c r="G911"/>
      <c r="H911"/>
      <c r="I911" s="474"/>
    </row>
    <row r="912" spans="6:9" ht="12.75">
      <c r="F912"/>
      <c r="G912"/>
      <c r="H912"/>
      <c r="I912" s="474"/>
    </row>
    <row r="913" spans="6:9" ht="12.75">
      <c r="F913"/>
      <c r="G913"/>
      <c r="H913"/>
      <c r="I913" s="474"/>
    </row>
    <row r="914" spans="6:9" ht="12.75">
      <c r="F914"/>
      <c r="G914"/>
      <c r="H914"/>
      <c r="I914" s="474"/>
    </row>
    <row r="915" spans="6:9" ht="12.75">
      <c r="F915"/>
      <c r="G915"/>
      <c r="H915"/>
      <c r="I915" s="474"/>
    </row>
    <row r="916" spans="6:9" ht="12.75">
      <c r="F916"/>
      <c r="G916"/>
      <c r="H916"/>
      <c r="I916" s="474"/>
    </row>
    <row r="917" spans="6:9" ht="12.75">
      <c r="F917"/>
      <c r="G917"/>
      <c r="H917"/>
      <c r="I917" s="474"/>
    </row>
    <row r="918" spans="6:9" ht="12.75">
      <c r="F918"/>
      <c r="G918"/>
      <c r="H918"/>
      <c r="I918" s="474"/>
    </row>
    <row r="919" spans="6:9" ht="12.75">
      <c r="F919"/>
      <c r="G919"/>
      <c r="H919"/>
      <c r="I919" s="474"/>
    </row>
    <row r="920" spans="6:9" ht="12.75">
      <c r="F920"/>
      <c r="G920"/>
      <c r="H920"/>
      <c r="I920" s="474"/>
    </row>
    <row r="921" spans="6:9" ht="12.75">
      <c r="F921"/>
      <c r="G921"/>
      <c r="H921"/>
      <c r="I921" s="474"/>
    </row>
    <row r="922" spans="6:9" ht="12.75">
      <c r="F922"/>
      <c r="G922"/>
      <c r="H922"/>
      <c r="I922" s="474"/>
    </row>
    <row r="923" spans="6:9" ht="12.75">
      <c r="F923"/>
      <c r="G923"/>
      <c r="H923"/>
      <c r="I923" s="474"/>
    </row>
    <row r="924" spans="6:9" ht="12.75">
      <c r="F924"/>
      <c r="G924"/>
      <c r="H924"/>
      <c r="I924" s="474"/>
    </row>
    <row r="925" spans="6:9" ht="12.75">
      <c r="F925"/>
      <c r="G925"/>
      <c r="H925"/>
      <c r="I925" s="474"/>
    </row>
    <row r="926" spans="6:9" ht="12.75">
      <c r="F926"/>
      <c r="G926"/>
      <c r="H926"/>
      <c r="I926" s="474"/>
    </row>
    <row r="927" spans="6:9" ht="12.75">
      <c r="F927"/>
      <c r="G927"/>
      <c r="H927"/>
      <c r="I927" s="474"/>
    </row>
    <row r="928" spans="6:9" ht="12.75">
      <c r="F928"/>
      <c r="G928"/>
      <c r="H928"/>
      <c r="I928" s="474"/>
    </row>
    <row r="929" spans="6:9" ht="12.75">
      <c r="F929"/>
      <c r="G929"/>
      <c r="H929"/>
      <c r="I929" s="474"/>
    </row>
    <row r="930" spans="6:9" ht="12.75">
      <c r="F930"/>
      <c r="G930"/>
      <c r="H930"/>
      <c r="I930" s="474"/>
    </row>
    <row r="931" spans="6:9" ht="12.75">
      <c r="F931"/>
      <c r="G931"/>
      <c r="H931"/>
      <c r="I931" s="474"/>
    </row>
    <row r="932" spans="6:9" ht="12.75">
      <c r="F932"/>
      <c r="G932"/>
      <c r="H932"/>
      <c r="I932" s="474"/>
    </row>
    <row r="933" spans="6:9" ht="12.75">
      <c r="F933"/>
      <c r="G933"/>
      <c r="H933"/>
      <c r="I933" s="474"/>
    </row>
    <row r="934" spans="6:9" ht="12.75">
      <c r="F934"/>
      <c r="G934"/>
      <c r="H934"/>
      <c r="I934" s="474"/>
    </row>
    <row r="935" spans="6:9" ht="12.75">
      <c r="F935"/>
      <c r="G935"/>
      <c r="H935"/>
      <c r="I935" s="474"/>
    </row>
    <row r="936" spans="6:9" ht="12.75">
      <c r="F936"/>
      <c r="G936"/>
      <c r="H936"/>
      <c r="I936" s="474"/>
    </row>
    <row r="937" spans="6:9" ht="12.75">
      <c r="F937"/>
      <c r="G937"/>
      <c r="H937"/>
      <c r="I937" s="474"/>
    </row>
    <row r="938" spans="6:9" ht="12.75">
      <c r="F938"/>
      <c r="G938"/>
      <c r="H938"/>
      <c r="I938" s="474"/>
    </row>
    <row r="939" spans="6:9" ht="12.75">
      <c r="F939"/>
      <c r="G939"/>
      <c r="H939"/>
      <c r="I939" s="474"/>
    </row>
    <row r="940" spans="6:9" ht="12.75">
      <c r="F940"/>
      <c r="G940"/>
      <c r="H940"/>
      <c r="I940" s="474"/>
    </row>
    <row r="941" spans="6:9" ht="12.75">
      <c r="F941"/>
      <c r="G941"/>
      <c r="H941"/>
      <c r="I941" s="474"/>
    </row>
    <row r="942" spans="6:9" ht="12.75">
      <c r="F942"/>
      <c r="G942"/>
      <c r="H942"/>
      <c r="I942" s="474"/>
    </row>
    <row r="943" spans="6:9" ht="12.75">
      <c r="F943"/>
      <c r="G943"/>
      <c r="H943"/>
      <c r="I943" s="474"/>
    </row>
    <row r="944" spans="6:9" ht="12.75">
      <c r="F944"/>
      <c r="G944"/>
      <c r="H944"/>
      <c r="I944" s="474"/>
    </row>
    <row r="945" spans="6:9" ht="12.75">
      <c r="F945"/>
      <c r="G945"/>
      <c r="H945"/>
      <c r="I945" s="474"/>
    </row>
    <row r="946" spans="6:9" ht="12.75">
      <c r="F946"/>
      <c r="G946"/>
      <c r="H946"/>
      <c r="I946" s="474"/>
    </row>
    <row r="947" spans="6:9" ht="12.75">
      <c r="F947"/>
      <c r="G947"/>
      <c r="H947"/>
      <c r="I947" s="474"/>
    </row>
    <row r="948" spans="6:9" ht="12.75">
      <c r="F948"/>
      <c r="G948"/>
      <c r="H948"/>
      <c r="I948" s="474"/>
    </row>
    <row r="949" spans="6:9" ht="12.75">
      <c r="F949"/>
      <c r="G949"/>
      <c r="H949"/>
      <c r="I949" s="474"/>
    </row>
    <row r="950" spans="6:9" ht="12.75">
      <c r="F950"/>
      <c r="G950"/>
      <c r="H950"/>
      <c r="I950" s="474"/>
    </row>
    <row r="951" spans="6:9" ht="12.75">
      <c r="F951"/>
      <c r="G951"/>
      <c r="H951"/>
      <c r="I951" s="474"/>
    </row>
    <row r="952" spans="6:9" ht="12.75">
      <c r="F952"/>
      <c r="G952"/>
      <c r="H952"/>
      <c r="I952" s="474"/>
    </row>
    <row r="953" spans="6:9" ht="12.75">
      <c r="F953"/>
      <c r="G953"/>
      <c r="H953"/>
      <c r="I953" s="474"/>
    </row>
    <row r="954" spans="6:9" ht="12.75">
      <c r="F954"/>
      <c r="G954"/>
      <c r="H954"/>
      <c r="I954" s="474"/>
    </row>
    <row r="955" spans="6:9" ht="12.75">
      <c r="F955"/>
      <c r="G955"/>
      <c r="H955"/>
      <c r="I955" s="474"/>
    </row>
    <row r="956" spans="6:9" ht="12.75">
      <c r="F956"/>
      <c r="G956"/>
      <c r="H956"/>
      <c r="I956" s="474"/>
    </row>
    <row r="957" spans="6:9" ht="12.75">
      <c r="F957"/>
      <c r="G957"/>
      <c r="H957"/>
      <c r="I957" s="474"/>
    </row>
    <row r="958" spans="6:9" ht="12.75">
      <c r="F958"/>
      <c r="G958"/>
      <c r="H958"/>
      <c r="I958" s="474"/>
    </row>
    <row r="959" spans="6:9" ht="12.75">
      <c r="F959"/>
      <c r="G959"/>
      <c r="H959"/>
      <c r="I959" s="474"/>
    </row>
    <row r="960" spans="6:9" ht="12.75">
      <c r="F960"/>
      <c r="G960"/>
      <c r="H960"/>
      <c r="I960" s="474"/>
    </row>
    <row r="961" spans="6:9" ht="12.75">
      <c r="F961"/>
      <c r="G961"/>
      <c r="H961"/>
      <c r="I961" s="474"/>
    </row>
    <row r="962" spans="6:9" ht="12.75">
      <c r="F962"/>
      <c r="G962"/>
      <c r="H962"/>
      <c r="I962" s="474"/>
    </row>
    <row r="963" spans="6:9" ht="12.75">
      <c r="F963"/>
      <c r="G963"/>
      <c r="H963"/>
      <c r="I963" s="474"/>
    </row>
    <row r="964" spans="6:9" ht="12.75">
      <c r="F964"/>
      <c r="G964"/>
      <c r="H964"/>
      <c r="I964" s="474"/>
    </row>
    <row r="965" spans="6:9" ht="12.75">
      <c r="F965"/>
      <c r="G965"/>
      <c r="H965"/>
      <c r="I965" s="474"/>
    </row>
    <row r="966" spans="6:9" ht="12.75">
      <c r="F966"/>
      <c r="G966"/>
      <c r="H966"/>
      <c r="I966" s="474"/>
    </row>
    <row r="967" spans="6:9" ht="12.75">
      <c r="F967"/>
      <c r="G967"/>
      <c r="H967"/>
      <c r="I967" s="474"/>
    </row>
    <row r="968" spans="6:9" ht="12.75">
      <c r="F968"/>
      <c r="G968"/>
      <c r="H968"/>
      <c r="I968" s="474"/>
    </row>
    <row r="969" spans="6:9" ht="12.75">
      <c r="F969"/>
      <c r="G969"/>
      <c r="H969"/>
      <c r="I969" s="474"/>
    </row>
    <row r="970" spans="6:9" ht="12.75">
      <c r="F970"/>
      <c r="G970"/>
      <c r="H970"/>
      <c r="I970" s="474"/>
    </row>
    <row r="971" spans="6:9" ht="12.75">
      <c r="F971"/>
      <c r="G971"/>
      <c r="H971"/>
      <c r="I971" s="474"/>
    </row>
    <row r="972" spans="6:9" ht="12.75">
      <c r="F972"/>
      <c r="G972"/>
      <c r="H972"/>
      <c r="I972" s="474"/>
    </row>
    <row r="973" spans="6:9" ht="12.75">
      <c r="F973"/>
      <c r="G973"/>
      <c r="H973"/>
      <c r="I973" s="474"/>
    </row>
    <row r="974" spans="6:9" ht="12.75">
      <c r="F974"/>
      <c r="G974"/>
      <c r="H974"/>
      <c r="I974" s="474"/>
    </row>
    <row r="975" spans="6:9" ht="12.75">
      <c r="F975"/>
      <c r="G975"/>
      <c r="H975"/>
      <c r="I975" s="474"/>
    </row>
    <row r="976" spans="6:9" ht="12.75">
      <c r="F976"/>
      <c r="G976"/>
      <c r="H976"/>
      <c r="I976" s="474"/>
    </row>
    <row r="977" spans="6:9" ht="12.75">
      <c r="F977"/>
      <c r="G977"/>
      <c r="H977"/>
      <c r="I977" s="474"/>
    </row>
    <row r="978" spans="6:9" ht="12.75">
      <c r="F978"/>
      <c r="G978"/>
      <c r="H978"/>
      <c r="I978" s="474"/>
    </row>
    <row r="979" spans="6:9" ht="12.75">
      <c r="F979"/>
      <c r="G979"/>
      <c r="H979"/>
      <c r="I979" s="474"/>
    </row>
    <row r="980" spans="6:9" ht="12.75">
      <c r="F980"/>
      <c r="G980"/>
      <c r="H980"/>
      <c r="I980" s="474"/>
    </row>
    <row r="981" spans="6:9" ht="12.75">
      <c r="F981"/>
      <c r="G981"/>
      <c r="H981"/>
      <c r="I981" s="474"/>
    </row>
    <row r="982" spans="6:9" ht="12.75">
      <c r="F982"/>
      <c r="G982"/>
      <c r="H982"/>
      <c r="I982" s="474"/>
    </row>
    <row r="983" spans="6:9" ht="12.75">
      <c r="F983"/>
      <c r="G983"/>
      <c r="H983"/>
      <c r="I983" s="474"/>
    </row>
    <row r="984" spans="6:9" ht="12.75">
      <c r="F984"/>
      <c r="G984"/>
      <c r="H984"/>
      <c r="I984" s="474"/>
    </row>
    <row r="985" spans="6:9" ht="12.75">
      <c r="F985"/>
      <c r="G985"/>
      <c r="H985"/>
      <c r="I985" s="474"/>
    </row>
    <row r="986" spans="6:9" ht="12.75">
      <c r="F986"/>
      <c r="G986"/>
      <c r="H986"/>
      <c r="I986" s="474"/>
    </row>
    <row r="987" spans="6:9" ht="12.75">
      <c r="F987"/>
      <c r="G987"/>
      <c r="H987"/>
      <c r="I987" s="474"/>
    </row>
    <row r="988" spans="6:9" ht="12.75">
      <c r="F988"/>
      <c r="G988"/>
      <c r="H988"/>
      <c r="I988" s="474"/>
    </row>
    <row r="989" spans="6:9" ht="12.75">
      <c r="F989"/>
      <c r="G989"/>
      <c r="H989"/>
      <c r="I989" s="474"/>
    </row>
    <row r="990" spans="6:9" ht="12.75">
      <c r="F990"/>
      <c r="G990"/>
      <c r="H990"/>
      <c r="I990" s="474"/>
    </row>
    <row r="991" spans="6:9" ht="12.75">
      <c r="F991"/>
      <c r="G991"/>
      <c r="H991"/>
      <c r="I991" s="474"/>
    </row>
    <row r="992" spans="6:9" ht="12.75">
      <c r="F992"/>
      <c r="G992"/>
      <c r="H992"/>
      <c r="I992" s="474"/>
    </row>
    <row r="993" spans="6:9" ht="12.75">
      <c r="F993"/>
      <c r="G993"/>
      <c r="H993"/>
      <c r="I993" s="474"/>
    </row>
    <row r="994" spans="6:9" ht="12.75">
      <c r="F994"/>
      <c r="G994"/>
      <c r="H994"/>
      <c r="I994" s="474"/>
    </row>
    <row r="995" spans="6:9" ht="12.75">
      <c r="F995"/>
      <c r="G995"/>
      <c r="H995"/>
      <c r="I995" s="474"/>
    </row>
    <row r="996" spans="6:9" ht="12.75">
      <c r="F996"/>
      <c r="G996"/>
      <c r="H996"/>
      <c r="I996" s="474"/>
    </row>
    <row r="997" spans="6:9" ht="12.75">
      <c r="F997"/>
      <c r="G997"/>
      <c r="H997"/>
      <c r="I997" s="474"/>
    </row>
    <row r="998" spans="6:9" ht="12.75">
      <c r="F998"/>
      <c r="G998"/>
      <c r="H998"/>
      <c r="I998" s="474"/>
    </row>
    <row r="999" spans="6:9" ht="12.75">
      <c r="F999"/>
      <c r="G999"/>
      <c r="H999"/>
      <c r="I999" s="474"/>
    </row>
    <row r="1000" spans="6:9" ht="12.75">
      <c r="F1000"/>
      <c r="G1000"/>
      <c r="H1000"/>
      <c r="I1000" s="474"/>
    </row>
    <row r="1001" spans="6:9" ht="12.75">
      <c r="F1001"/>
      <c r="G1001"/>
      <c r="H1001"/>
      <c r="I1001" s="474"/>
    </row>
    <row r="1002" spans="6:9" ht="12.75">
      <c r="F1002"/>
      <c r="G1002"/>
      <c r="H1002"/>
      <c r="I1002" s="474"/>
    </row>
    <row r="1003" spans="6:9" ht="12.75">
      <c r="F1003"/>
      <c r="G1003"/>
      <c r="H1003"/>
      <c r="I1003" s="474"/>
    </row>
    <row r="1004" spans="6:9" ht="12.75">
      <c r="F1004"/>
      <c r="G1004"/>
      <c r="H1004"/>
      <c r="I1004" s="474"/>
    </row>
    <row r="1005" spans="6:9" ht="12.75">
      <c r="F1005"/>
      <c r="G1005"/>
      <c r="H1005"/>
      <c r="I1005" s="474"/>
    </row>
    <row r="1006" spans="6:9" ht="12.75">
      <c r="F1006"/>
      <c r="G1006"/>
      <c r="H1006"/>
      <c r="I1006" s="474"/>
    </row>
    <row r="1007" spans="6:9" ht="12.75">
      <c r="F1007"/>
      <c r="G1007"/>
      <c r="H1007"/>
      <c r="I1007" s="474"/>
    </row>
    <row r="1008" spans="6:9" ht="12.75">
      <c r="F1008"/>
      <c r="G1008"/>
      <c r="H1008"/>
      <c r="I1008" s="474"/>
    </row>
    <row r="1009" spans="6:9" ht="12.75">
      <c r="F1009"/>
      <c r="G1009"/>
      <c r="H1009"/>
      <c r="I1009" s="474"/>
    </row>
    <row r="1010" spans="6:9" ht="12.75">
      <c r="F1010"/>
      <c r="G1010"/>
      <c r="H1010"/>
      <c r="I1010" s="474"/>
    </row>
    <row r="1011" spans="6:9" ht="12.75">
      <c r="F1011"/>
      <c r="G1011"/>
      <c r="H1011"/>
      <c r="I1011" s="474"/>
    </row>
    <row r="1012" spans="6:9" ht="12.75">
      <c r="F1012"/>
      <c r="G1012"/>
      <c r="H1012"/>
      <c r="I1012" s="474"/>
    </row>
    <row r="1013" spans="6:9" ht="12.75">
      <c r="F1013"/>
      <c r="G1013"/>
      <c r="H1013"/>
      <c r="I1013" s="474"/>
    </row>
    <row r="1014" spans="6:9" ht="12.75">
      <c r="F1014"/>
      <c r="G1014"/>
      <c r="H1014"/>
      <c r="I1014" s="474"/>
    </row>
    <row r="1015" spans="6:9" ht="12.75">
      <c r="F1015"/>
      <c r="G1015"/>
      <c r="H1015"/>
      <c r="I1015" s="474"/>
    </row>
    <row r="1016" spans="6:9" ht="12.75">
      <c r="F1016"/>
      <c r="G1016"/>
      <c r="H1016"/>
      <c r="I1016" s="474"/>
    </row>
    <row r="1017" spans="6:9" ht="12.75">
      <c r="F1017"/>
      <c r="G1017"/>
      <c r="H1017"/>
      <c r="I1017" s="474"/>
    </row>
    <row r="1018" spans="6:9" ht="12.75">
      <c r="F1018"/>
      <c r="G1018"/>
      <c r="H1018"/>
      <c r="I1018" s="474"/>
    </row>
    <row r="1019" spans="6:9" ht="12.75">
      <c r="F1019"/>
      <c r="G1019"/>
      <c r="H1019"/>
      <c r="I1019" s="474"/>
    </row>
    <row r="1020" spans="6:9" ht="12.75">
      <c r="F1020"/>
      <c r="G1020"/>
      <c r="H1020"/>
      <c r="I1020" s="474"/>
    </row>
    <row r="1021" spans="6:9" ht="12.75">
      <c r="F1021"/>
      <c r="G1021"/>
      <c r="H1021"/>
      <c r="I1021" s="474"/>
    </row>
    <row r="1022" spans="6:9" ht="12.75">
      <c r="F1022"/>
      <c r="G1022"/>
      <c r="H1022"/>
      <c r="I1022" s="474"/>
    </row>
    <row r="1023" spans="6:9" ht="12.75">
      <c r="F1023"/>
      <c r="G1023"/>
      <c r="H1023"/>
      <c r="I1023" s="474"/>
    </row>
    <row r="1024" spans="6:9" ht="12.75">
      <c r="F1024"/>
      <c r="G1024"/>
      <c r="H1024"/>
      <c r="I1024" s="474"/>
    </row>
    <row r="1025" spans="6:9" ht="12.75">
      <c r="F1025"/>
      <c r="G1025"/>
      <c r="H1025"/>
      <c r="I1025" s="474"/>
    </row>
    <row r="1026" spans="6:9" ht="12.75">
      <c r="F1026"/>
      <c r="G1026"/>
      <c r="H1026"/>
      <c r="I1026" s="474"/>
    </row>
    <row r="1027" spans="6:9" ht="12.75">
      <c r="F1027"/>
      <c r="G1027"/>
      <c r="H1027"/>
      <c r="I1027" s="474"/>
    </row>
    <row r="1028" spans="6:9" ht="12.75">
      <c r="F1028"/>
      <c r="G1028"/>
      <c r="H1028"/>
      <c r="I1028" s="474"/>
    </row>
    <row r="1029" spans="6:9" ht="12.75">
      <c r="F1029"/>
      <c r="G1029"/>
      <c r="H1029"/>
      <c r="I1029" s="474"/>
    </row>
    <row r="1030" spans="6:9" ht="12.75">
      <c r="F1030"/>
      <c r="G1030"/>
      <c r="H1030"/>
      <c r="I1030" s="474"/>
    </row>
    <row r="1031" spans="6:9" ht="12.75">
      <c r="F1031"/>
      <c r="G1031"/>
      <c r="H1031"/>
      <c r="I1031" s="474"/>
    </row>
    <row r="1032" spans="6:9" ht="12.75">
      <c r="F1032"/>
      <c r="G1032"/>
      <c r="H1032"/>
      <c r="I1032" s="474"/>
    </row>
    <row r="1033" spans="6:9" ht="12.75">
      <c r="F1033"/>
      <c r="G1033"/>
      <c r="H1033"/>
      <c r="I1033" s="474"/>
    </row>
    <row r="1034" spans="6:9" ht="12.75">
      <c r="F1034"/>
      <c r="G1034"/>
      <c r="H1034"/>
      <c r="I1034" s="474"/>
    </row>
    <row r="1035" spans="6:9" ht="12.75">
      <c r="F1035"/>
      <c r="G1035"/>
      <c r="H1035"/>
      <c r="I1035" s="474"/>
    </row>
    <row r="1036" spans="6:9" ht="12.75">
      <c r="F1036"/>
      <c r="G1036"/>
      <c r="H1036"/>
      <c r="I1036" s="474"/>
    </row>
    <row r="1037" spans="6:9" ht="12.75">
      <c r="F1037"/>
      <c r="G1037"/>
      <c r="H1037"/>
      <c r="I1037" s="474"/>
    </row>
    <row r="1038" spans="6:9" ht="12.75">
      <c r="F1038"/>
      <c r="G1038"/>
      <c r="H1038"/>
      <c r="I1038" s="474"/>
    </row>
    <row r="1039" spans="6:9" ht="12.75">
      <c r="F1039"/>
      <c r="G1039"/>
      <c r="H1039"/>
      <c r="I1039" s="474"/>
    </row>
    <row r="1040" spans="6:9" ht="12.75">
      <c r="F1040"/>
      <c r="G1040"/>
      <c r="H1040"/>
      <c r="I1040" s="474"/>
    </row>
    <row r="1041" spans="6:9" ht="12.75">
      <c r="F1041"/>
      <c r="G1041"/>
      <c r="H1041"/>
      <c r="I1041" s="474"/>
    </row>
    <row r="1042" spans="6:9" ht="12.75">
      <c r="F1042"/>
      <c r="G1042"/>
      <c r="H1042"/>
      <c r="I1042" s="474"/>
    </row>
    <row r="1043" spans="6:9" ht="12.75">
      <c r="F1043"/>
      <c r="G1043"/>
      <c r="H1043"/>
      <c r="I1043" s="474"/>
    </row>
    <row r="1044" spans="6:9" ht="12.75">
      <c r="F1044"/>
      <c r="G1044"/>
      <c r="H1044"/>
      <c r="I1044" s="474"/>
    </row>
    <row r="1045" spans="6:9" ht="12.75">
      <c r="F1045"/>
      <c r="G1045"/>
      <c r="H1045"/>
      <c r="I1045" s="474"/>
    </row>
    <row r="1046" spans="6:9" ht="12.75">
      <c r="F1046"/>
      <c r="G1046"/>
      <c r="H1046"/>
      <c r="I1046" s="474"/>
    </row>
    <row r="1047" spans="6:9" ht="12.75">
      <c r="F1047"/>
      <c r="G1047"/>
      <c r="H1047"/>
      <c r="I1047" s="474"/>
    </row>
    <row r="1048" spans="6:9" ht="12.75">
      <c r="F1048"/>
      <c r="G1048"/>
      <c r="H1048"/>
      <c r="I1048" s="474"/>
    </row>
    <row r="1049" spans="6:9" ht="12.75">
      <c r="F1049"/>
      <c r="G1049"/>
      <c r="H1049"/>
      <c r="I1049" s="474"/>
    </row>
    <row r="1050" spans="6:9" ht="12.75">
      <c r="F1050"/>
      <c r="G1050"/>
      <c r="H1050"/>
      <c r="I1050" s="474"/>
    </row>
    <row r="1051" spans="6:9" ht="12.75">
      <c r="F1051"/>
      <c r="G1051"/>
      <c r="H1051"/>
      <c r="I1051" s="474"/>
    </row>
    <row r="1052" spans="6:9" ht="12.75">
      <c r="F1052"/>
      <c r="G1052"/>
      <c r="H1052"/>
      <c r="I1052" s="474"/>
    </row>
    <row r="1053" spans="6:9" ht="12.75">
      <c r="F1053"/>
      <c r="G1053"/>
      <c r="H1053"/>
      <c r="I1053" s="474"/>
    </row>
    <row r="1054" spans="6:9" ht="12.75">
      <c r="F1054"/>
      <c r="G1054"/>
      <c r="H1054"/>
      <c r="I1054" s="474"/>
    </row>
    <row r="1055" spans="6:9" ht="12.75">
      <c r="F1055"/>
      <c r="G1055"/>
      <c r="H1055"/>
      <c r="I1055" s="474"/>
    </row>
    <row r="1056" spans="6:9" ht="12.75">
      <c r="F1056"/>
      <c r="G1056"/>
      <c r="H1056"/>
      <c r="I1056" s="474"/>
    </row>
    <row r="1057" spans="6:9" ht="12.75">
      <c r="F1057"/>
      <c r="G1057"/>
      <c r="H1057"/>
      <c r="I1057" s="474"/>
    </row>
    <row r="1058" spans="6:9" ht="12.75">
      <c r="F1058"/>
      <c r="G1058"/>
      <c r="H1058"/>
      <c r="I1058" s="474"/>
    </row>
    <row r="1059" spans="6:9" ht="12.75">
      <c r="F1059"/>
      <c r="G1059"/>
      <c r="H1059"/>
      <c r="I1059" s="474"/>
    </row>
    <row r="1060" spans="6:9" ht="12.75">
      <c r="F1060"/>
      <c r="G1060"/>
      <c r="H1060"/>
      <c r="I1060" s="474"/>
    </row>
    <row r="1061" spans="6:9" ht="12.75">
      <c r="F1061"/>
      <c r="G1061"/>
      <c r="H1061"/>
      <c r="I1061" s="474"/>
    </row>
    <row r="1062" spans="6:9" ht="12.75">
      <c r="F1062"/>
      <c r="G1062"/>
      <c r="H1062"/>
      <c r="I1062" s="474"/>
    </row>
    <row r="1063" spans="6:9" ht="12.75">
      <c r="F1063"/>
      <c r="G1063"/>
      <c r="H1063"/>
      <c r="I1063" s="474"/>
    </row>
    <row r="1064" spans="6:9" ht="12.75">
      <c r="F1064"/>
      <c r="G1064"/>
      <c r="H1064"/>
      <c r="I1064" s="474"/>
    </row>
    <row r="1065" spans="6:9" ht="12.75">
      <c r="F1065"/>
      <c r="G1065"/>
      <c r="H1065"/>
      <c r="I1065" s="474"/>
    </row>
    <row r="1066" spans="6:9" ht="12.75">
      <c r="F1066"/>
      <c r="G1066"/>
      <c r="H1066"/>
      <c r="I1066" s="474"/>
    </row>
    <row r="1067" spans="6:9" ht="12.75">
      <c r="F1067"/>
      <c r="G1067"/>
      <c r="H1067"/>
      <c r="I1067" s="474"/>
    </row>
    <row r="1068" spans="6:9" ht="12.75">
      <c r="F1068"/>
      <c r="G1068"/>
      <c r="H1068"/>
      <c r="I1068" s="474"/>
    </row>
    <row r="1069" spans="6:9" ht="12.75">
      <c r="F1069"/>
      <c r="G1069"/>
      <c r="H1069"/>
      <c r="I1069" s="474"/>
    </row>
    <row r="1070" spans="6:9" ht="12.75">
      <c r="F1070"/>
      <c r="G1070"/>
      <c r="H1070"/>
      <c r="I1070" s="474"/>
    </row>
    <row r="1071" spans="6:9" ht="12.75">
      <c r="F1071"/>
      <c r="G1071"/>
      <c r="H1071"/>
      <c r="I1071" s="474"/>
    </row>
    <row r="1072" spans="6:9" ht="12.75">
      <c r="F1072"/>
      <c r="G1072"/>
      <c r="H1072"/>
      <c r="I1072" s="474"/>
    </row>
    <row r="1073" spans="6:9" ht="12.75">
      <c r="F1073"/>
      <c r="G1073"/>
      <c r="H1073"/>
      <c r="I1073" s="474"/>
    </row>
    <row r="1074" spans="6:9" ht="12.75">
      <c r="F1074"/>
      <c r="G1074"/>
      <c r="H1074"/>
      <c r="I1074" s="474"/>
    </row>
    <row r="1075" spans="6:9" ht="12.75">
      <c r="F1075"/>
      <c r="G1075"/>
      <c r="H1075"/>
      <c r="I1075" s="474"/>
    </row>
    <row r="1076" spans="6:9" ht="12.75">
      <c r="F1076"/>
      <c r="G1076"/>
      <c r="H1076"/>
      <c r="I1076" s="474"/>
    </row>
    <row r="1077" spans="6:9" ht="12.75">
      <c r="F1077"/>
      <c r="G1077"/>
      <c r="H1077"/>
      <c r="I1077" s="474"/>
    </row>
    <row r="1078" spans="6:9" ht="12.75">
      <c r="F1078"/>
      <c r="G1078"/>
      <c r="H1078"/>
      <c r="I1078" s="474"/>
    </row>
    <row r="1079" spans="6:9" ht="12.75">
      <c r="F1079"/>
      <c r="G1079"/>
      <c r="H1079"/>
      <c r="I1079" s="474"/>
    </row>
    <row r="1080" spans="6:9" ht="12.75">
      <c r="F1080"/>
      <c r="G1080"/>
      <c r="H1080"/>
      <c r="I1080" s="474"/>
    </row>
    <row r="1081" spans="6:9" ht="12.75">
      <c r="F1081"/>
      <c r="G1081"/>
      <c r="H1081"/>
      <c r="I1081" s="474"/>
    </row>
    <row r="1082" spans="6:9" ht="12.75">
      <c r="F1082"/>
      <c r="G1082"/>
      <c r="H1082"/>
      <c r="I1082" s="474"/>
    </row>
    <row r="1083" spans="6:9" ht="12.75">
      <c r="F1083"/>
      <c r="G1083"/>
      <c r="H1083"/>
      <c r="I1083" s="474"/>
    </row>
    <row r="1084" spans="6:9" ht="12.75">
      <c r="F1084"/>
      <c r="G1084"/>
      <c r="H1084"/>
      <c r="I1084" s="474"/>
    </row>
    <row r="1085" spans="6:9" ht="12.75">
      <c r="F1085"/>
      <c r="G1085"/>
      <c r="H1085"/>
      <c r="I1085" s="474"/>
    </row>
    <row r="1086" spans="6:9" ht="12.75">
      <c r="F1086"/>
      <c r="G1086"/>
      <c r="H1086"/>
      <c r="I1086" s="474"/>
    </row>
    <row r="1087" spans="6:9" ht="12.75">
      <c r="F1087"/>
      <c r="G1087"/>
      <c r="H1087"/>
      <c r="I1087" s="474"/>
    </row>
    <row r="1088" spans="6:9" ht="12.75">
      <c r="F1088"/>
      <c r="G1088"/>
      <c r="H1088"/>
      <c r="I1088" s="474"/>
    </row>
    <row r="1089" spans="6:9" ht="12.75">
      <c r="F1089"/>
      <c r="G1089"/>
      <c r="H1089"/>
      <c r="I1089" s="474"/>
    </row>
    <row r="1090" spans="6:9" ht="12.75">
      <c r="F1090"/>
      <c r="G1090"/>
      <c r="H1090"/>
      <c r="I1090" s="474"/>
    </row>
    <row r="1091" spans="6:9" ht="12.75">
      <c r="F1091"/>
      <c r="G1091"/>
      <c r="H1091"/>
      <c r="I1091" s="474"/>
    </row>
    <row r="1092" spans="6:9" ht="12.75">
      <c r="F1092"/>
      <c r="G1092"/>
      <c r="H1092"/>
      <c r="I1092" s="474"/>
    </row>
    <row r="1093" spans="6:9" ht="12.75">
      <c r="F1093"/>
      <c r="G1093"/>
      <c r="H1093"/>
      <c r="I1093" s="474"/>
    </row>
    <row r="1094" spans="6:9" ht="12.75">
      <c r="F1094"/>
      <c r="G1094"/>
      <c r="H1094"/>
      <c r="I1094" s="474"/>
    </row>
    <row r="1095" spans="6:9" ht="12.75">
      <c r="F1095"/>
      <c r="G1095"/>
      <c r="H1095"/>
      <c r="I1095" s="474"/>
    </row>
    <row r="1096" spans="6:9" ht="12.75">
      <c r="F1096"/>
      <c r="G1096"/>
      <c r="H1096"/>
      <c r="I1096" s="474"/>
    </row>
    <row r="1097" spans="6:9" ht="12.75">
      <c r="F1097"/>
      <c r="G1097"/>
      <c r="H1097"/>
      <c r="I1097" s="474"/>
    </row>
    <row r="1098" spans="6:9" ht="12.75">
      <c r="F1098"/>
      <c r="G1098"/>
      <c r="H1098"/>
      <c r="I1098" s="474"/>
    </row>
    <row r="1099" spans="6:9" ht="12.75">
      <c r="F1099"/>
      <c r="G1099"/>
      <c r="H1099"/>
      <c r="I1099" s="474"/>
    </row>
    <row r="1100" spans="6:9" ht="12.75">
      <c r="F1100"/>
      <c r="G1100"/>
      <c r="H1100"/>
      <c r="I1100" s="474"/>
    </row>
    <row r="1101" spans="6:9" ht="12.75">
      <c r="F1101"/>
      <c r="G1101"/>
      <c r="H1101"/>
      <c r="I1101" s="474"/>
    </row>
    <row r="1102" spans="6:9" ht="12.75">
      <c r="F1102"/>
      <c r="G1102"/>
      <c r="H1102"/>
      <c r="I1102" s="474"/>
    </row>
    <row r="1103" spans="6:9" ht="12.75">
      <c r="F1103"/>
      <c r="G1103"/>
      <c r="H1103"/>
      <c r="I1103" s="474"/>
    </row>
    <row r="1104" spans="6:9" ht="12.75">
      <c r="F1104"/>
      <c r="G1104"/>
      <c r="H1104"/>
      <c r="I1104" s="474"/>
    </row>
    <row r="1105" spans="6:9" ht="12.75">
      <c r="F1105"/>
      <c r="G1105"/>
      <c r="H1105"/>
      <c r="I1105" s="474"/>
    </row>
    <row r="1106" spans="6:9" ht="12.75">
      <c r="F1106"/>
      <c r="G1106"/>
      <c r="H1106"/>
      <c r="I1106" s="474"/>
    </row>
    <row r="1107" spans="6:9" ht="12.75">
      <c r="F1107"/>
      <c r="G1107"/>
      <c r="H1107"/>
      <c r="I1107" s="474"/>
    </row>
    <row r="1108" spans="6:9" ht="12.75">
      <c r="F1108"/>
      <c r="G1108"/>
      <c r="H1108"/>
      <c r="I1108" s="474"/>
    </row>
    <row r="1109" spans="6:9" ht="12.75">
      <c r="F1109"/>
      <c r="G1109"/>
      <c r="H1109"/>
      <c r="I1109" s="474"/>
    </row>
    <row r="1110" spans="6:9" ht="12.75">
      <c r="F1110"/>
      <c r="G1110"/>
      <c r="H1110"/>
      <c r="I1110" s="474"/>
    </row>
    <row r="1111" spans="6:9" ht="12.75">
      <c r="F1111"/>
      <c r="G1111"/>
      <c r="H1111"/>
      <c r="I1111" s="474"/>
    </row>
    <row r="1112" spans="6:9" ht="12.75">
      <c r="F1112"/>
      <c r="G1112"/>
      <c r="H1112"/>
      <c r="I1112" s="474"/>
    </row>
    <row r="1113" spans="6:9" ht="12.75">
      <c r="F1113"/>
      <c r="G1113"/>
      <c r="H1113"/>
      <c r="I1113" s="474"/>
    </row>
    <row r="1114" spans="6:9" ht="12.75">
      <c r="F1114"/>
      <c r="G1114"/>
      <c r="H1114"/>
      <c r="I1114" s="474"/>
    </row>
    <row r="1115" spans="6:9" ht="12.75">
      <c r="F1115"/>
      <c r="G1115"/>
      <c r="H1115"/>
      <c r="I1115" s="474"/>
    </row>
    <row r="1116" spans="6:9" ht="12.75">
      <c r="F1116"/>
      <c r="G1116"/>
      <c r="H1116"/>
      <c r="I1116" s="474"/>
    </row>
    <row r="1117" spans="6:9" ht="12.75">
      <c r="F1117"/>
      <c r="G1117"/>
      <c r="H1117"/>
      <c r="I1117" s="474"/>
    </row>
    <row r="1118" spans="6:9" ht="12.75">
      <c r="F1118"/>
      <c r="G1118"/>
      <c r="H1118"/>
      <c r="I1118" s="474"/>
    </row>
    <row r="1119" spans="6:9" ht="12.75">
      <c r="F1119"/>
      <c r="G1119"/>
      <c r="H1119"/>
      <c r="I1119" s="474"/>
    </row>
    <row r="1120" spans="6:9" ht="12.75">
      <c r="F1120"/>
      <c r="G1120"/>
      <c r="H1120"/>
      <c r="I1120" s="474"/>
    </row>
    <row r="1121" spans="6:9" ht="12.75">
      <c r="F1121"/>
      <c r="G1121"/>
      <c r="H1121"/>
      <c r="I1121" s="474"/>
    </row>
    <row r="1122" spans="6:9" ht="12.75">
      <c r="F1122"/>
      <c r="G1122"/>
      <c r="H1122"/>
      <c r="I1122" s="474"/>
    </row>
    <row r="1123" spans="6:9" ht="12.75">
      <c r="F1123"/>
      <c r="G1123"/>
      <c r="H1123"/>
      <c r="I1123" s="474"/>
    </row>
    <row r="1124" spans="6:9" ht="12.75">
      <c r="F1124"/>
      <c r="G1124"/>
      <c r="H1124"/>
      <c r="I1124" s="474"/>
    </row>
    <row r="1125" spans="6:9" ht="12.75">
      <c r="F1125"/>
      <c r="G1125"/>
      <c r="H1125"/>
      <c r="I1125" s="474"/>
    </row>
    <row r="1126" spans="6:9" ht="12.75">
      <c r="F1126"/>
      <c r="G1126"/>
      <c r="H1126"/>
      <c r="I1126" s="474"/>
    </row>
    <row r="1127" spans="6:9" ht="12.75">
      <c r="F1127"/>
      <c r="G1127"/>
      <c r="H1127"/>
      <c r="I1127" s="474"/>
    </row>
    <row r="1128" spans="6:9" ht="12.75">
      <c r="F1128"/>
      <c r="G1128"/>
      <c r="H1128"/>
      <c r="I1128" s="474"/>
    </row>
    <row r="1129" spans="6:9" ht="12.75">
      <c r="F1129"/>
      <c r="G1129"/>
      <c r="H1129"/>
      <c r="I1129" s="474"/>
    </row>
    <row r="1130" spans="6:9" ht="12.75">
      <c r="F1130"/>
      <c r="G1130"/>
      <c r="H1130"/>
      <c r="I1130" s="474"/>
    </row>
    <row r="1131" spans="6:9" ht="12.75">
      <c r="F1131"/>
      <c r="G1131"/>
      <c r="H1131"/>
      <c r="I1131" s="474"/>
    </row>
    <row r="1132" spans="6:9" ht="12.75">
      <c r="F1132"/>
      <c r="G1132"/>
      <c r="H1132"/>
      <c r="I1132" s="474"/>
    </row>
    <row r="1133" spans="6:9" ht="12.75">
      <c r="F1133"/>
      <c r="G1133"/>
      <c r="H1133"/>
      <c r="I1133" s="474"/>
    </row>
    <row r="1134" spans="6:9" ht="12.75">
      <c r="F1134"/>
      <c r="G1134"/>
      <c r="H1134"/>
      <c r="I1134" s="474"/>
    </row>
    <row r="1135" spans="6:9" ht="12.75">
      <c r="F1135"/>
      <c r="G1135"/>
      <c r="H1135"/>
      <c r="I1135" s="474"/>
    </row>
    <row r="1136" spans="6:9" ht="12.75">
      <c r="F1136"/>
      <c r="G1136"/>
      <c r="H1136"/>
      <c r="I1136" s="474"/>
    </row>
    <row r="1137" spans="6:9" ht="12.75">
      <c r="F1137"/>
      <c r="G1137"/>
      <c r="H1137"/>
      <c r="I1137" s="474"/>
    </row>
    <row r="1138" spans="6:9" ht="12.75">
      <c r="F1138"/>
      <c r="G1138"/>
      <c r="H1138"/>
      <c r="I1138" s="474"/>
    </row>
    <row r="1139" spans="6:9" ht="12.75">
      <c r="F1139"/>
      <c r="G1139"/>
      <c r="H1139"/>
      <c r="I1139" s="474"/>
    </row>
    <row r="1140" spans="6:9" ht="12.75">
      <c r="F1140"/>
      <c r="G1140"/>
      <c r="H1140"/>
      <c r="I1140" s="474"/>
    </row>
    <row r="1141" spans="6:9" ht="12.75">
      <c r="F1141"/>
      <c r="G1141"/>
      <c r="H1141"/>
      <c r="I1141" s="474"/>
    </row>
    <row r="1142" spans="6:9" ht="12.75">
      <c r="F1142"/>
      <c r="G1142"/>
      <c r="H1142"/>
      <c r="I1142" s="474"/>
    </row>
    <row r="1143" spans="6:9" ht="12.75">
      <c r="F1143"/>
      <c r="G1143"/>
      <c r="H1143"/>
      <c r="I1143" s="474"/>
    </row>
    <row r="1144" spans="6:9" ht="12.75">
      <c r="F1144"/>
      <c r="G1144"/>
      <c r="H1144"/>
      <c r="I1144" s="474"/>
    </row>
    <row r="1145" spans="6:9" ht="12.75">
      <c r="F1145"/>
      <c r="G1145"/>
      <c r="H1145"/>
      <c r="I1145" s="474"/>
    </row>
    <row r="1146" spans="6:9" ht="12.75">
      <c r="F1146"/>
      <c r="G1146"/>
      <c r="H1146"/>
      <c r="I1146" s="474"/>
    </row>
    <row r="1147" spans="6:9" ht="12.75">
      <c r="F1147"/>
      <c r="G1147"/>
      <c r="H1147"/>
      <c r="I1147" s="474"/>
    </row>
    <row r="1148" spans="6:9" ht="12.75">
      <c r="F1148"/>
      <c r="G1148"/>
      <c r="H1148"/>
      <c r="I1148" s="474"/>
    </row>
    <row r="1149" spans="6:9" ht="12.75">
      <c r="F1149"/>
      <c r="G1149"/>
      <c r="H1149"/>
      <c r="I1149" s="474"/>
    </row>
    <row r="1150" spans="6:9" ht="12.75">
      <c r="F1150"/>
      <c r="G1150"/>
      <c r="H1150"/>
      <c r="I1150" s="474"/>
    </row>
    <row r="1151" spans="6:9" ht="12.75">
      <c r="F1151"/>
      <c r="G1151"/>
      <c r="H1151"/>
      <c r="I1151" s="474"/>
    </row>
    <row r="1152" spans="6:9" ht="12.75">
      <c r="F1152"/>
      <c r="G1152"/>
      <c r="H1152"/>
      <c r="I1152" s="474"/>
    </row>
    <row r="1153" spans="6:9" ht="12.75">
      <c r="F1153"/>
      <c r="G1153"/>
      <c r="H1153"/>
      <c r="I1153" s="474"/>
    </row>
    <row r="1154" spans="6:9" ht="12.75">
      <c r="F1154"/>
      <c r="G1154"/>
      <c r="H1154"/>
      <c r="I1154" s="474"/>
    </row>
    <row r="1155" spans="6:9" ht="12.75">
      <c r="F1155"/>
      <c r="G1155"/>
      <c r="H1155"/>
      <c r="I1155" s="474"/>
    </row>
    <row r="1156" spans="6:9" ht="12.75">
      <c r="F1156"/>
      <c r="G1156"/>
      <c r="H1156"/>
      <c r="I1156" s="474"/>
    </row>
    <row r="1157" spans="6:9" ht="12.75">
      <c r="F1157"/>
      <c r="G1157"/>
      <c r="H1157"/>
      <c r="I1157" s="474"/>
    </row>
    <row r="1158" spans="6:9" ht="12.75">
      <c r="F1158"/>
      <c r="G1158"/>
      <c r="H1158"/>
      <c r="I1158" s="474"/>
    </row>
    <row r="1159" spans="6:9" ht="12.75">
      <c r="F1159"/>
      <c r="G1159"/>
      <c r="H1159"/>
      <c r="I1159" s="474"/>
    </row>
    <row r="1160" spans="6:9" ht="12.75">
      <c r="F1160"/>
      <c r="G1160"/>
      <c r="H1160"/>
      <c r="I1160" s="474"/>
    </row>
    <row r="1161" spans="6:9" ht="12.75">
      <c r="F1161"/>
      <c r="G1161"/>
      <c r="H1161"/>
      <c r="I1161" s="474"/>
    </row>
    <row r="1162" spans="6:9" ht="12.75">
      <c r="F1162"/>
      <c r="G1162"/>
      <c r="H1162"/>
      <c r="I1162" s="474"/>
    </row>
    <row r="1163" spans="6:9" ht="12.75">
      <c r="F1163"/>
      <c r="G1163"/>
      <c r="H1163"/>
      <c r="I1163" s="474"/>
    </row>
    <row r="1164" spans="6:9" ht="12.75">
      <c r="F1164"/>
      <c r="G1164"/>
      <c r="H1164"/>
      <c r="I1164" s="474"/>
    </row>
    <row r="1165" spans="6:9" ht="12.75">
      <c r="F1165"/>
      <c r="G1165"/>
      <c r="H1165"/>
      <c r="I1165" s="474"/>
    </row>
    <row r="1166" spans="6:9" ht="12.75">
      <c r="F1166"/>
      <c r="G1166"/>
      <c r="H1166"/>
      <c r="I1166" s="474"/>
    </row>
    <row r="1167" spans="6:9" ht="12.75">
      <c r="F1167"/>
      <c r="G1167"/>
      <c r="H1167"/>
      <c r="I1167" s="474"/>
    </row>
    <row r="1168" spans="6:9" ht="12.75">
      <c r="F1168"/>
      <c r="G1168"/>
      <c r="H1168"/>
      <c r="I1168" s="474"/>
    </row>
    <row r="1169" spans="6:9" ht="12.75">
      <c r="F1169"/>
      <c r="G1169"/>
      <c r="H1169"/>
      <c r="I1169" s="474"/>
    </row>
    <row r="1170" spans="6:9" ht="12.75">
      <c r="F1170"/>
      <c r="G1170"/>
      <c r="H1170"/>
      <c r="I1170" s="474"/>
    </row>
    <row r="1171" spans="6:9" ht="12.75">
      <c r="F1171"/>
      <c r="G1171"/>
      <c r="H1171"/>
      <c r="I1171" s="474"/>
    </row>
    <row r="1172" spans="6:9" ht="12.75">
      <c r="F1172"/>
      <c r="G1172"/>
      <c r="H1172"/>
      <c r="I1172" s="474"/>
    </row>
    <row r="1173" spans="6:9" ht="12.75">
      <c r="F1173"/>
      <c r="G1173"/>
      <c r="H1173"/>
      <c r="I1173" s="474"/>
    </row>
    <row r="1174" spans="6:9" ht="12.75">
      <c r="F1174"/>
      <c r="G1174"/>
      <c r="H1174"/>
      <c r="I1174" s="474"/>
    </row>
    <row r="1175" spans="6:9" ht="12.75">
      <c r="F1175"/>
      <c r="G1175"/>
      <c r="H1175"/>
      <c r="I1175" s="474"/>
    </row>
    <row r="1176" spans="6:9" ht="12.75">
      <c r="F1176"/>
      <c r="G1176"/>
      <c r="H1176"/>
      <c r="I1176" s="474"/>
    </row>
    <row r="1177" spans="6:9" ht="12.75">
      <c r="F1177"/>
      <c r="G1177"/>
      <c r="H1177"/>
      <c r="I1177" s="474"/>
    </row>
    <row r="1178" spans="6:9" ht="12.75">
      <c r="F1178"/>
      <c r="G1178"/>
      <c r="H1178"/>
      <c r="I1178" s="474"/>
    </row>
    <row r="1179" spans="6:9" ht="12.75">
      <c r="F1179"/>
      <c r="G1179"/>
      <c r="H1179"/>
      <c r="I1179" s="474"/>
    </row>
    <row r="1180" spans="6:9" ht="12.75">
      <c r="F1180"/>
      <c r="G1180"/>
      <c r="H1180"/>
      <c r="I1180" s="474"/>
    </row>
    <row r="1181" spans="6:9" ht="12.75">
      <c r="F1181"/>
      <c r="G1181"/>
      <c r="H1181"/>
      <c r="I1181" s="474"/>
    </row>
    <row r="1182" spans="6:9" ht="12.75">
      <c r="F1182"/>
      <c r="G1182"/>
      <c r="H1182"/>
      <c r="I1182" s="474"/>
    </row>
    <row r="1183" spans="6:9" ht="12.75">
      <c r="F1183"/>
      <c r="G1183"/>
      <c r="H1183"/>
      <c r="I1183" s="474"/>
    </row>
    <row r="1184" spans="6:9" ht="12.75">
      <c r="F1184"/>
      <c r="G1184"/>
      <c r="H1184"/>
      <c r="I1184" s="474"/>
    </row>
    <row r="1185" spans="6:9" ht="12.75">
      <c r="F1185"/>
      <c r="G1185"/>
      <c r="H1185"/>
      <c r="I1185" s="474"/>
    </row>
    <row r="1186" spans="6:9" ht="12.75">
      <c r="F1186"/>
      <c r="G1186"/>
      <c r="H1186"/>
      <c r="I1186" s="474"/>
    </row>
    <row r="1187" spans="6:9" ht="12.75">
      <c r="F1187"/>
      <c r="G1187"/>
      <c r="H1187"/>
      <c r="I1187" s="474"/>
    </row>
    <row r="1188" spans="6:9" ht="12.75">
      <c r="F1188"/>
      <c r="G1188"/>
      <c r="H1188"/>
      <c r="I1188" s="474"/>
    </row>
    <row r="1189" spans="6:9" ht="12.75">
      <c r="F1189"/>
      <c r="G1189"/>
      <c r="H1189"/>
      <c r="I1189" s="474"/>
    </row>
    <row r="1190" spans="6:9" ht="12.75">
      <c r="F1190"/>
      <c r="G1190"/>
      <c r="H1190"/>
      <c r="I1190" s="474"/>
    </row>
    <row r="1191" spans="6:9" ht="12.75">
      <c r="F1191"/>
      <c r="G1191"/>
      <c r="H1191"/>
      <c r="I1191" s="474"/>
    </row>
    <row r="1192" spans="6:9" ht="12.75">
      <c r="F1192"/>
      <c r="G1192"/>
      <c r="H1192"/>
      <c r="I1192" s="474"/>
    </row>
    <row r="1193" spans="6:9" ht="12.75">
      <c r="F1193"/>
      <c r="G1193"/>
      <c r="H1193"/>
      <c r="I1193" s="474"/>
    </row>
    <row r="1194" spans="6:9" ht="12.75">
      <c r="F1194"/>
      <c r="G1194"/>
      <c r="H1194"/>
      <c r="I1194" s="474"/>
    </row>
    <row r="1195" spans="6:9" ht="12.75">
      <c r="F1195"/>
      <c r="G1195"/>
      <c r="H1195"/>
      <c r="I1195" s="474"/>
    </row>
    <row r="1196" spans="6:9" ht="12.75">
      <c r="F1196"/>
      <c r="G1196"/>
      <c r="H1196"/>
      <c r="I1196" s="474"/>
    </row>
    <row r="1197" spans="6:9" ht="12.75">
      <c r="F1197"/>
      <c r="G1197"/>
      <c r="H1197"/>
      <c r="I1197" s="474"/>
    </row>
    <row r="1198" spans="6:9" ht="12.75">
      <c r="F1198"/>
      <c r="G1198"/>
      <c r="H1198"/>
      <c r="I1198" s="474"/>
    </row>
    <row r="1199" spans="6:9" ht="12.75">
      <c r="F1199"/>
      <c r="G1199"/>
      <c r="H1199"/>
      <c r="I1199" s="474"/>
    </row>
    <row r="1200" spans="6:9" ht="12.75">
      <c r="F1200"/>
      <c r="G1200"/>
      <c r="H1200"/>
      <c r="I1200" s="474"/>
    </row>
    <row r="1201" spans="6:9" ht="12.75">
      <c r="F1201"/>
      <c r="G1201"/>
      <c r="H1201"/>
      <c r="I1201" s="474"/>
    </row>
    <row r="1202" spans="6:9" ht="12.75">
      <c r="F1202"/>
      <c r="G1202"/>
      <c r="H1202"/>
      <c r="I1202" s="474"/>
    </row>
    <row r="1203" spans="6:9" ht="12.75">
      <c r="F1203"/>
      <c r="G1203"/>
      <c r="H1203"/>
      <c r="I1203" s="474"/>
    </row>
    <row r="1204" spans="6:9" ht="12.75">
      <c r="F1204"/>
      <c r="G1204"/>
      <c r="H1204"/>
      <c r="I1204" s="474"/>
    </row>
    <row r="1205" spans="6:9" ht="12.75">
      <c r="F1205"/>
      <c r="G1205"/>
      <c r="H1205"/>
      <c r="I1205" s="474"/>
    </row>
    <row r="1206" spans="6:9" ht="12.75">
      <c r="F1206"/>
      <c r="G1206"/>
      <c r="H1206"/>
      <c r="I1206" s="474"/>
    </row>
    <row r="1207" spans="6:9" ht="12.75">
      <c r="F1207"/>
      <c r="G1207"/>
      <c r="H1207"/>
      <c r="I1207" s="474"/>
    </row>
    <row r="1208" spans="6:9" ht="12.75">
      <c r="F1208"/>
      <c r="G1208"/>
      <c r="H1208"/>
      <c r="I1208" s="474"/>
    </row>
    <row r="1209" spans="6:9" ht="12.75">
      <c r="F1209"/>
      <c r="G1209"/>
      <c r="H1209"/>
      <c r="I1209" s="474"/>
    </row>
    <row r="1210" spans="6:9" ht="12.75">
      <c r="F1210"/>
      <c r="G1210"/>
      <c r="H1210"/>
      <c r="I1210" s="474"/>
    </row>
    <row r="1211" spans="6:9" ht="12.75">
      <c r="F1211"/>
      <c r="G1211"/>
      <c r="H1211"/>
      <c r="I1211" s="474"/>
    </row>
    <row r="1212" spans="6:9" ht="12.75">
      <c r="F1212"/>
      <c r="G1212"/>
      <c r="H1212"/>
      <c r="I1212" s="474"/>
    </row>
    <row r="1213" spans="6:9" ht="12.75">
      <c r="F1213"/>
      <c r="G1213"/>
      <c r="H1213"/>
      <c r="I1213" s="474"/>
    </row>
    <row r="1214" spans="6:9" ht="12.75">
      <c r="F1214"/>
      <c r="G1214"/>
      <c r="H1214"/>
      <c r="I1214" s="474"/>
    </row>
    <row r="1215" spans="6:9" ht="12.75">
      <c r="F1215"/>
      <c r="G1215"/>
      <c r="H1215"/>
      <c r="I1215" s="474"/>
    </row>
    <row r="1216" spans="6:9" ht="12.75">
      <c r="F1216"/>
      <c r="G1216"/>
      <c r="H1216"/>
      <c r="I1216" s="474"/>
    </row>
    <row r="1217" spans="6:9" ht="12.75">
      <c r="F1217"/>
      <c r="G1217"/>
      <c r="H1217"/>
      <c r="I1217" s="474"/>
    </row>
    <row r="1218" spans="6:9" ht="12.75">
      <c r="F1218"/>
      <c r="G1218"/>
      <c r="H1218"/>
      <c r="I1218" s="474"/>
    </row>
    <row r="1219" spans="6:9" ht="12.75">
      <c r="F1219"/>
      <c r="G1219"/>
      <c r="H1219"/>
      <c r="I1219" s="474"/>
    </row>
    <row r="1220" spans="6:9" ht="12.75">
      <c r="F1220"/>
      <c r="G1220"/>
      <c r="H1220"/>
      <c r="I1220" s="474"/>
    </row>
    <row r="1221" spans="6:9" ht="12.75">
      <c r="F1221"/>
      <c r="G1221"/>
      <c r="H1221"/>
      <c r="I1221" s="474"/>
    </row>
    <row r="1222" spans="6:9" ht="12.75">
      <c r="F1222"/>
      <c r="G1222"/>
      <c r="H1222"/>
      <c r="I1222" s="474"/>
    </row>
    <row r="1223" spans="6:9" ht="12.75">
      <c r="F1223"/>
      <c r="G1223"/>
      <c r="H1223"/>
      <c r="I1223" s="474"/>
    </row>
    <row r="1224" spans="6:9" ht="12.75">
      <c r="F1224"/>
      <c r="G1224"/>
      <c r="H1224"/>
      <c r="I1224" s="474"/>
    </row>
    <row r="1225" spans="6:9" ht="12.75">
      <c r="F1225"/>
      <c r="G1225"/>
      <c r="H1225"/>
      <c r="I1225" s="474"/>
    </row>
    <row r="1226" spans="6:9" ht="12.75">
      <c r="F1226"/>
      <c r="G1226"/>
      <c r="H1226"/>
      <c r="I1226" s="474"/>
    </row>
    <row r="1227" spans="6:9" ht="12.75">
      <c r="F1227"/>
      <c r="G1227"/>
      <c r="H1227"/>
      <c r="I1227" s="474"/>
    </row>
    <row r="1228" spans="6:9" ht="12.75">
      <c r="F1228"/>
      <c r="G1228"/>
      <c r="H1228"/>
      <c r="I1228" s="474"/>
    </row>
    <row r="1229" spans="6:9" ht="12.75">
      <c r="F1229"/>
      <c r="G1229"/>
      <c r="H1229"/>
      <c r="I1229" s="474"/>
    </row>
    <row r="1230" spans="6:9" ht="12.75">
      <c r="F1230"/>
      <c r="G1230"/>
      <c r="H1230"/>
      <c r="I1230" s="474"/>
    </row>
    <row r="1231" spans="6:9" ht="12.75">
      <c r="F1231"/>
      <c r="G1231"/>
      <c r="H1231"/>
      <c r="I1231" s="474"/>
    </row>
    <row r="1232" spans="6:9" ht="12.75">
      <c r="F1232"/>
      <c r="G1232"/>
      <c r="H1232"/>
      <c r="I1232" s="474"/>
    </row>
    <row r="1233" spans="6:9" ht="12.75">
      <c r="F1233"/>
      <c r="G1233"/>
      <c r="H1233"/>
      <c r="I1233" s="474"/>
    </row>
    <row r="1234" spans="6:9" ht="12.75">
      <c r="F1234"/>
      <c r="G1234"/>
      <c r="H1234"/>
      <c r="I1234" s="474"/>
    </row>
    <row r="1235" spans="6:9" ht="12.75">
      <c r="F1235"/>
      <c r="G1235"/>
      <c r="H1235"/>
      <c r="I1235" s="474"/>
    </row>
    <row r="1236" spans="6:9" ht="12.75">
      <c r="F1236"/>
      <c r="G1236"/>
      <c r="H1236"/>
      <c r="I1236" s="474"/>
    </row>
    <row r="1237" spans="6:9" ht="12.75">
      <c r="F1237"/>
      <c r="G1237"/>
      <c r="H1237"/>
      <c r="I1237" s="474"/>
    </row>
    <row r="1238" spans="6:9" ht="12.75">
      <c r="F1238"/>
      <c r="G1238"/>
      <c r="H1238"/>
      <c r="I1238" s="474"/>
    </row>
    <row r="1239" spans="6:9" ht="12.75">
      <c r="F1239"/>
      <c r="G1239"/>
      <c r="H1239"/>
      <c r="I1239" s="474"/>
    </row>
    <row r="1240" spans="6:9" ht="12.75">
      <c r="F1240"/>
      <c r="G1240"/>
      <c r="H1240"/>
      <c r="I1240" s="474"/>
    </row>
    <row r="1241" spans="6:9" ht="12.75">
      <c r="F1241"/>
      <c r="G1241"/>
      <c r="H1241"/>
      <c r="I1241" s="474"/>
    </row>
    <row r="1242" spans="6:9" ht="12.75">
      <c r="F1242"/>
      <c r="G1242"/>
      <c r="H1242"/>
      <c r="I1242" s="474"/>
    </row>
    <row r="1243" spans="6:9" ht="12.75">
      <c r="F1243"/>
      <c r="G1243"/>
      <c r="H1243"/>
      <c r="I1243" s="474"/>
    </row>
    <row r="1244" spans="6:9" ht="12.75">
      <c r="F1244"/>
      <c r="G1244"/>
      <c r="H1244"/>
      <c r="I1244" s="474"/>
    </row>
    <row r="1245" spans="6:9" ht="12.75">
      <c r="F1245"/>
      <c r="G1245"/>
      <c r="H1245"/>
      <c r="I1245" s="474"/>
    </row>
    <row r="1246" spans="6:9" ht="12.75">
      <c r="F1246"/>
      <c r="G1246"/>
      <c r="H1246"/>
      <c r="I1246" s="474"/>
    </row>
    <row r="1247" spans="6:9" ht="12.75">
      <c r="F1247"/>
      <c r="G1247"/>
      <c r="H1247"/>
      <c r="I1247" s="474"/>
    </row>
    <row r="1248" spans="6:9" ht="12.75">
      <c r="F1248"/>
      <c r="G1248"/>
      <c r="H1248"/>
      <c r="I1248" s="474"/>
    </row>
    <row r="1249" spans="6:9" ht="12.75">
      <c r="F1249"/>
      <c r="G1249"/>
      <c r="H1249"/>
      <c r="I1249" s="474"/>
    </row>
    <row r="1250" spans="6:9" ht="12.75">
      <c r="F1250"/>
      <c r="G1250"/>
      <c r="H1250"/>
      <c r="I1250" s="474"/>
    </row>
    <row r="1251" spans="6:9" ht="12.75">
      <c r="F1251"/>
      <c r="G1251"/>
      <c r="H1251"/>
      <c r="I1251" s="474"/>
    </row>
    <row r="1252" spans="6:9" ht="12.75">
      <c r="F1252"/>
      <c r="G1252"/>
      <c r="H1252"/>
      <c r="I1252" s="474"/>
    </row>
    <row r="1253" spans="6:9" ht="12.75">
      <c r="F1253"/>
      <c r="G1253"/>
      <c r="H1253"/>
      <c r="I1253" s="474"/>
    </row>
    <row r="1254" spans="6:9" ht="12.75">
      <c r="F1254"/>
      <c r="G1254"/>
      <c r="H1254"/>
      <c r="I1254" s="474"/>
    </row>
    <row r="1255" spans="6:9" ht="12.75">
      <c r="F1255"/>
      <c r="G1255"/>
      <c r="H1255"/>
      <c r="I1255" s="474"/>
    </row>
    <row r="1256" spans="6:9" ht="12.75">
      <c r="F1256"/>
      <c r="G1256"/>
      <c r="H1256"/>
      <c r="I1256" s="474"/>
    </row>
    <row r="1257" spans="6:9" ht="12.75">
      <c r="F1257"/>
      <c r="G1257"/>
      <c r="H1257"/>
      <c r="I1257" s="474"/>
    </row>
    <row r="1258" spans="6:9" ht="12.75">
      <c r="F1258"/>
      <c r="G1258"/>
      <c r="H1258"/>
      <c r="I1258" s="474"/>
    </row>
    <row r="1259" spans="6:9" ht="12.75">
      <c r="F1259"/>
      <c r="G1259"/>
      <c r="H1259"/>
      <c r="I1259" s="474"/>
    </row>
    <row r="1260" spans="6:9" ht="12.75">
      <c r="F1260"/>
      <c r="G1260"/>
      <c r="H1260"/>
      <c r="I1260" s="474"/>
    </row>
    <row r="1261" spans="6:9" ht="12.75">
      <c r="F1261"/>
      <c r="G1261"/>
      <c r="H1261"/>
      <c r="I1261" s="474"/>
    </row>
    <row r="1262" spans="6:9" ht="12.75">
      <c r="F1262"/>
      <c r="G1262"/>
      <c r="H1262"/>
      <c r="I1262" s="474"/>
    </row>
    <row r="1263" spans="6:9" ht="12.75">
      <c r="F1263"/>
      <c r="G1263"/>
      <c r="H1263"/>
      <c r="I1263" s="474"/>
    </row>
    <row r="1264" spans="6:9" ht="12.75">
      <c r="F1264"/>
      <c r="G1264"/>
      <c r="H1264"/>
      <c r="I1264" s="474"/>
    </row>
    <row r="1265" spans="6:9" ht="12.75">
      <c r="F1265"/>
      <c r="G1265"/>
      <c r="H1265"/>
      <c r="I1265" s="474"/>
    </row>
    <row r="1266" spans="6:9" ht="12.75">
      <c r="F1266"/>
      <c r="G1266"/>
      <c r="H1266"/>
      <c r="I1266" s="474"/>
    </row>
    <row r="1267" spans="6:9" ht="12.75">
      <c r="F1267"/>
      <c r="G1267"/>
      <c r="H1267"/>
      <c r="I1267" s="474"/>
    </row>
    <row r="1268" spans="6:9" ht="12.75">
      <c r="F1268"/>
      <c r="G1268"/>
      <c r="H1268"/>
      <c r="I1268" s="474"/>
    </row>
    <row r="1269" spans="6:9" ht="12.75">
      <c r="F1269"/>
      <c r="G1269"/>
      <c r="H1269"/>
      <c r="I1269" s="474"/>
    </row>
    <row r="1270" spans="6:9" ht="12.75">
      <c r="F1270"/>
      <c r="G1270"/>
      <c r="H1270"/>
      <c r="I1270" s="474"/>
    </row>
    <row r="1271" spans="6:9" ht="12.75">
      <c r="F1271"/>
      <c r="G1271"/>
      <c r="H1271"/>
      <c r="I1271" s="474"/>
    </row>
    <row r="1272" spans="6:9" ht="12.75">
      <c r="F1272"/>
      <c r="G1272"/>
      <c r="H1272"/>
      <c r="I1272" s="474"/>
    </row>
    <row r="1273" spans="6:9" ht="12.75">
      <c r="F1273"/>
      <c r="G1273"/>
      <c r="H1273"/>
      <c r="I1273" s="474"/>
    </row>
    <row r="1274" spans="6:9" ht="12.75">
      <c r="F1274"/>
      <c r="G1274"/>
      <c r="H1274"/>
      <c r="I1274" s="474"/>
    </row>
    <row r="1275" spans="6:9" ht="12.75">
      <c r="F1275"/>
      <c r="G1275"/>
      <c r="H1275"/>
      <c r="I1275" s="474"/>
    </row>
    <row r="1276" spans="6:9" ht="12.75">
      <c r="F1276"/>
      <c r="G1276"/>
      <c r="H1276"/>
      <c r="I1276" s="474"/>
    </row>
    <row r="1277" spans="6:9" ht="12.75">
      <c r="F1277"/>
      <c r="G1277"/>
      <c r="H1277"/>
      <c r="I1277" s="474"/>
    </row>
    <row r="1278" spans="6:9" ht="12.75">
      <c r="F1278"/>
      <c r="G1278"/>
      <c r="H1278"/>
      <c r="I1278" s="474"/>
    </row>
    <row r="1279" spans="6:9" ht="12.75">
      <c r="F1279"/>
      <c r="G1279"/>
      <c r="H1279"/>
      <c r="I1279" s="474"/>
    </row>
    <row r="1280" spans="6:9" ht="12.75">
      <c r="F1280"/>
      <c r="G1280"/>
      <c r="H1280"/>
      <c r="I1280" s="474"/>
    </row>
    <row r="1281" spans="6:9" ht="12.75">
      <c r="F1281"/>
      <c r="G1281"/>
      <c r="H1281"/>
      <c r="I1281" s="474"/>
    </row>
    <row r="1282" spans="6:9" ht="12.75">
      <c r="F1282"/>
      <c r="G1282"/>
      <c r="H1282"/>
      <c r="I1282" s="474"/>
    </row>
    <row r="1283" spans="6:9" ht="12.75">
      <c r="F1283"/>
      <c r="G1283"/>
      <c r="H1283"/>
      <c r="I1283" s="474"/>
    </row>
    <row r="1284" spans="6:9" ht="12.75">
      <c r="F1284"/>
      <c r="G1284"/>
      <c r="H1284"/>
      <c r="I1284" s="474"/>
    </row>
    <row r="1285" spans="6:9" ht="12.75">
      <c r="F1285"/>
      <c r="G1285"/>
      <c r="H1285"/>
      <c r="I1285" s="474"/>
    </row>
    <row r="1286" spans="6:9" ht="12.75">
      <c r="F1286"/>
      <c r="G1286"/>
      <c r="H1286"/>
      <c r="I1286" s="474"/>
    </row>
    <row r="1287" spans="6:9" ht="12.75">
      <c r="F1287"/>
      <c r="G1287"/>
      <c r="H1287"/>
      <c r="I1287" s="474"/>
    </row>
    <row r="1288" spans="6:9" ht="12.75">
      <c r="F1288"/>
      <c r="G1288"/>
      <c r="H1288"/>
      <c r="I1288" s="474"/>
    </row>
    <row r="1289" spans="6:9" ht="12.75">
      <c r="F1289"/>
      <c r="G1289"/>
      <c r="H1289"/>
      <c r="I1289" s="474"/>
    </row>
    <row r="1290" spans="6:9" ht="12.75">
      <c r="F1290"/>
      <c r="G1290"/>
      <c r="H1290"/>
      <c r="I1290" s="474"/>
    </row>
    <row r="1291" spans="6:9" ht="12.75">
      <c r="F1291"/>
      <c r="G1291"/>
      <c r="H1291"/>
      <c r="I1291" s="474"/>
    </row>
    <row r="1292" spans="6:9" ht="12.75">
      <c r="F1292"/>
      <c r="G1292"/>
      <c r="H1292"/>
      <c r="I1292" s="474"/>
    </row>
    <row r="1293" spans="6:9" ht="12.75">
      <c r="F1293"/>
      <c r="G1293"/>
      <c r="H1293"/>
      <c r="I1293" s="474"/>
    </row>
    <row r="1294" spans="6:9" ht="12.75">
      <c r="F1294"/>
      <c r="G1294"/>
      <c r="H1294"/>
      <c r="I1294" s="474"/>
    </row>
    <row r="1295" spans="6:9" ht="12.75">
      <c r="F1295"/>
      <c r="G1295"/>
      <c r="H1295"/>
      <c r="I1295" s="474"/>
    </row>
    <row r="1296" spans="6:9" ht="12.75">
      <c r="F1296"/>
      <c r="G1296"/>
      <c r="H1296"/>
      <c r="I1296" s="474"/>
    </row>
    <row r="1297" spans="6:9" ht="12.75">
      <c r="F1297"/>
      <c r="G1297"/>
      <c r="H1297"/>
      <c r="I1297" s="474"/>
    </row>
    <row r="1298" spans="6:9" ht="12.75">
      <c r="F1298"/>
      <c r="G1298"/>
      <c r="H1298"/>
      <c r="I1298" s="474"/>
    </row>
    <row r="1299" spans="6:9" ht="12.75">
      <c r="F1299"/>
      <c r="G1299"/>
      <c r="H1299"/>
      <c r="I1299" s="474"/>
    </row>
    <row r="1300" spans="6:9" ht="12.75">
      <c r="F1300"/>
      <c r="G1300"/>
      <c r="H1300"/>
      <c r="I1300" s="474"/>
    </row>
    <row r="1301" spans="6:9" ht="12.75">
      <c r="F1301"/>
      <c r="G1301"/>
      <c r="H1301"/>
      <c r="I1301" s="474"/>
    </row>
    <row r="1302" spans="6:9" ht="12.75">
      <c r="F1302"/>
      <c r="G1302"/>
      <c r="H1302"/>
      <c r="I1302" s="474"/>
    </row>
    <row r="1303" spans="6:9" ht="12.75">
      <c r="F1303"/>
      <c r="G1303"/>
      <c r="H1303"/>
      <c r="I1303" s="474"/>
    </row>
    <row r="1304" spans="6:9" ht="12.75">
      <c r="F1304"/>
      <c r="G1304"/>
      <c r="H1304"/>
      <c r="I1304" s="474"/>
    </row>
    <row r="1305" spans="6:9" ht="12.75">
      <c r="F1305"/>
      <c r="G1305"/>
      <c r="H1305"/>
      <c r="I1305" s="474"/>
    </row>
    <row r="1306" spans="6:9" ht="12.75">
      <c r="F1306"/>
      <c r="G1306"/>
      <c r="H1306"/>
      <c r="I1306" s="474"/>
    </row>
    <row r="1307" spans="6:9" ht="12.75">
      <c r="F1307"/>
      <c r="G1307"/>
      <c r="H1307"/>
      <c r="I1307" s="474"/>
    </row>
    <row r="1308" spans="6:9" ht="12.75">
      <c r="F1308"/>
      <c r="G1308"/>
      <c r="H1308"/>
      <c r="I1308" s="474"/>
    </row>
    <row r="1309" spans="6:9" ht="12.75">
      <c r="F1309"/>
      <c r="G1309"/>
      <c r="H1309"/>
      <c r="I1309" s="474"/>
    </row>
    <row r="1310" spans="6:9" ht="12.75">
      <c r="F1310"/>
      <c r="G1310"/>
      <c r="H1310"/>
      <c r="I1310" s="474"/>
    </row>
    <row r="1311" spans="6:9" ht="12.75">
      <c r="F1311"/>
      <c r="G1311"/>
      <c r="H1311"/>
      <c r="I1311" s="474"/>
    </row>
    <row r="1312" spans="6:9" ht="12.75">
      <c r="F1312"/>
      <c r="G1312"/>
      <c r="H1312"/>
      <c r="I1312" s="474"/>
    </row>
    <row r="1313" spans="6:9" ht="12.75">
      <c r="F1313"/>
      <c r="G1313"/>
      <c r="H1313"/>
      <c r="I1313" s="474"/>
    </row>
    <row r="1314" spans="6:9" ht="12.75">
      <c r="F1314"/>
      <c r="G1314"/>
      <c r="H1314"/>
      <c r="I1314" s="474"/>
    </row>
    <row r="1315" spans="6:9" ht="12.75">
      <c r="F1315"/>
      <c r="G1315"/>
      <c r="H1315"/>
      <c r="I1315" s="474"/>
    </row>
    <row r="1316" spans="6:9" ht="12.75">
      <c r="F1316"/>
      <c r="G1316"/>
      <c r="H1316"/>
      <c r="I1316" s="474"/>
    </row>
    <row r="1317" spans="6:9" ht="12.75">
      <c r="F1317"/>
      <c r="G1317"/>
      <c r="H1317"/>
      <c r="I1317" s="474"/>
    </row>
    <row r="1318" spans="6:9" ht="12.75">
      <c r="F1318"/>
      <c r="G1318"/>
      <c r="H1318"/>
      <c r="I1318" s="474"/>
    </row>
    <row r="1319" spans="6:9" ht="12.75">
      <c r="F1319"/>
      <c r="G1319"/>
      <c r="H1319"/>
      <c r="I1319" s="474"/>
    </row>
    <row r="1320" spans="6:9" ht="12.75">
      <c r="F1320"/>
      <c r="G1320"/>
      <c r="H1320"/>
      <c r="I1320" s="474"/>
    </row>
    <row r="1321" spans="6:9" ht="12.75">
      <c r="F1321"/>
      <c r="G1321"/>
      <c r="H1321"/>
      <c r="I1321" s="474"/>
    </row>
    <row r="1322" spans="6:9" ht="12.75">
      <c r="F1322"/>
      <c r="G1322"/>
      <c r="H1322"/>
      <c r="I1322" s="474"/>
    </row>
    <row r="1323" spans="6:9" ht="12.75">
      <c r="F1323"/>
      <c r="G1323"/>
      <c r="H1323"/>
      <c r="I1323" s="474"/>
    </row>
    <row r="1324" spans="6:9" ht="12.75">
      <c r="F1324"/>
      <c r="G1324"/>
      <c r="H1324"/>
      <c r="I1324" s="474"/>
    </row>
    <row r="1325" spans="6:9" ht="12.75">
      <c r="F1325"/>
      <c r="G1325"/>
      <c r="H1325"/>
      <c r="I1325" s="474"/>
    </row>
    <row r="1326" spans="6:9" ht="12.75">
      <c r="F1326"/>
      <c r="G1326"/>
      <c r="H1326"/>
      <c r="I1326" s="474"/>
    </row>
    <row r="1327" spans="6:9" ht="12.75">
      <c r="F1327"/>
      <c r="G1327"/>
      <c r="H1327"/>
      <c r="I1327" s="474"/>
    </row>
    <row r="1328" spans="6:9" ht="12.75">
      <c r="F1328"/>
      <c r="G1328"/>
      <c r="H1328"/>
      <c r="I1328" s="474"/>
    </row>
    <row r="1329" spans="6:9" ht="12.75">
      <c r="F1329"/>
      <c r="G1329"/>
      <c r="H1329"/>
      <c r="I1329" s="474"/>
    </row>
    <row r="1330" spans="6:9" ht="12.75">
      <c r="F1330"/>
      <c r="G1330"/>
      <c r="H1330"/>
      <c r="I1330" s="474"/>
    </row>
    <row r="1331" spans="6:9" ht="12.75">
      <c r="F1331"/>
      <c r="G1331"/>
      <c r="H1331"/>
      <c r="I1331" s="474"/>
    </row>
    <row r="1332" spans="6:9" ht="12.75">
      <c r="F1332"/>
      <c r="G1332"/>
      <c r="H1332"/>
      <c r="I1332" s="474"/>
    </row>
    <row r="1333" spans="6:9" ht="12.75">
      <c r="F1333"/>
      <c r="G1333"/>
      <c r="H1333"/>
      <c r="I1333" s="474"/>
    </row>
    <row r="1334" spans="6:9" ht="12.75">
      <c r="F1334"/>
      <c r="G1334"/>
      <c r="H1334"/>
      <c r="I1334" s="474"/>
    </row>
    <row r="1335" spans="6:9" ht="12.75">
      <c r="F1335"/>
      <c r="G1335"/>
      <c r="H1335"/>
      <c r="I1335" s="474"/>
    </row>
    <row r="1336" spans="6:9" ht="12.75">
      <c r="F1336"/>
      <c r="G1336"/>
      <c r="H1336"/>
      <c r="I1336" s="474"/>
    </row>
    <row r="1337" spans="6:9" ht="12.75">
      <c r="F1337"/>
      <c r="G1337"/>
      <c r="H1337"/>
      <c r="I1337" s="474"/>
    </row>
    <row r="1338" spans="6:9" ht="12.75">
      <c r="F1338"/>
      <c r="G1338"/>
      <c r="H1338"/>
      <c r="I1338" s="474"/>
    </row>
    <row r="1339" spans="6:9" ht="12.75">
      <c r="F1339"/>
      <c r="G1339"/>
      <c r="H1339"/>
      <c r="I1339" s="474"/>
    </row>
    <row r="1340" spans="6:9" ht="12.75">
      <c r="F1340"/>
      <c r="G1340"/>
      <c r="H1340"/>
      <c r="I1340" s="474"/>
    </row>
    <row r="1341" spans="6:9" ht="12.75">
      <c r="F1341"/>
      <c r="G1341"/>
      <c r="H1341"/>
      <c r="I1341" s="474"/>
    </row>
    <row r="1342" spans="6:9" ht="12.75">
      <c r="F1342"/>
      <c r="G1342"/>
      <c r="H1342"/>
      <c r="I1342" s="474"/>
    </row>
    <row r="1343" spans="6:9" ht="12.75">
      <c r="F1343"/>
      <c r="G1343"/>
      <c r="H1343"/>
      <c r="I1343" s="474"/>
    </row>
    <row r="1344" spans="6:9" ht="12.75">
      <c r="F1344"/>
      <c r="G1344"/>
      <c r="H1344"/>
      <c r="I1344" s="474"/>
    </row>
    <row r="1345" spans="6:9" ht="12.75">
      <c r="F1345"/>
      <c r="G1345"/>
      <c r="H1345"/>
      <c r="I1345" s="474"/>
    </row>
    <row r="1346" spans="6:9" ht="12.75">
      <c r="F1346"/>
      <c r="G1346"/>
      <c r="H1346"/>
      <c r="I1346" s="474"/>
    </row>
    <row r="1347" spans="6:9" ht="12.75">
      <c r="F1347"/>
      <c r="G1347"/>
      <c r="H1347"/>
      <c r="I1347" s="474"/>
    </row>
    <row r="1348" spans="6:9" ht="12.75">
      <c r="F1348"/>
      <c r="G1348"/>
      <c r="H1348"/>
      <c r="I1348" s="474"/>
    </row>
    <row r="1349" spans="6:9" ht="12.75">
      <c r="F1349"/>
      <c r="G1349"/>
      <c r="H1349"/>
      <c r="I1349" s="474"/>
    </row>
    <row r="1350" spans="6:9" ht="12.75">
      <c r="F1350"/>
      <c r="G1350"/>
      <c r="H1350"/>
      <c r="I1350" s="474"/>
    </row>
    <row r="1351" spans="6:9" ht="12.75">
      <c r="F1351"/>
      <c r="G1351"/>
      <c r="H1351"/>
      <c r="I1351" s="474"/>
    </row>
    <row r="1352" spans="6:9" ht="12.75">
      <c r="F1352"/>
      <c r="G1352"/>
      <c r="H1352"/>
      <c r="I1352" s="474"/>
    </row>
    <row r="1353" spans="6:9" ht="12.75">
      <c r="F1353"/>
      <c r="G1353"/>
      <c r="H1353"/>
      <c r="I1353" s="474"/>
    </row>
    <row r="1354" spans="6:9" ht="12.75">
      <c r="F1354"/>
      <c r="G1354"/>
      <c r="H1354"/>
      <c r="I1354" s="474"/>
    </row>
    <row r="1355" spans="6:9" ht="12.75">
      <c r="F1355"/>
      <c r="G1355"/>
      <c r="H1355"/>
      <c r="I1355" s="474"/>
    </row>
    <row r="1356" spans="6:9" ht="12.75">
      <c r="F1356"/>
      <c r="G1356"/>
      <c r="H1356"/>
      <c r="I1356" s="474"/>
    </row>
    <row r="1357" spans="6:9" ht="12.75">
      <c r="F1357"/>
      <c r="G1357"/>
      <c r="H1357"/>
      <c r="I1357" s="474"/>
    </row>
    <row r="1358" spans="6:9" ht="12.75">
      <c r="F1358"/>
      <c r="G1358"/>
      <c r="H1358"/>
      <c r="I1358" s="474"/>
    </row>
    <row r="1359" spans="6:9" ht="12.75">
      <c r="F1359"/>
      <c r="G1359"/>
      <c r="H1359"/>
      <c r="I1359" s="474"/>
    </row>
    <row r="1360" spans="6:9" ht="12.75">
      <c r="F1360"/>
      <c r="G1360"/>
      <c r="H1360"/>
      <c r="I1360" s="474"/>
    </row>
    <row r="1361" spans="6:9" ht="12.75">
      <c r="F1361"/>
      <c r="G1361"/>
      <c r="H1361"/>
      <c r="I1361" s="474"/>
    </row>
    <row r="1362" spans="6:9" ht="12.75">
      <c r="F1362"/>
      <c r="G1362"/>
      <c r="H1362"/>
      <c r="I1362" s="474"/>
    </row>
    <row r="1363" spans="6:9" ht="12.75">
      <c r="F1363"/>
      <c r="G1363"/>
      <c r="H1363"/>
      <c r="I1363" s="474"/>
    </row>
    <row r="1364" spans="6:9" ht="12.75">
      <c r="F1364"/>
      <c r="G1364"/>
      <c r="H1364"/>
      <c r="I1364" s="474"/>
    </row>
    <row r="1365" spans="6:9" ht="12.75">
      <c r="F1365"/>
      <c r="G1365"/>
      <c r="H1365"/>
      <c r="I1365" s="474"/>
    </row>
    <row r="1366" spans="6:9" ht="12.75">
      <c r="F1366"/>
      <c r="G1366"/>
      <c r="H1366"/>
      <c r="I1366" s="474"/>
    </row>
    <row r="1367" spans="6:9" ht="12.75">
      <c r="F1367"/>
      <c r="G1367"/>
      <c r="H1367"/>
      <c r="I1367" s="474"/>
    </row>
    <row r="1368" spans="6:9" ht="12.75">
      <c r="F1368"/>
      <c r="G1368"/>
      <c r="H1368"/>
      <c r="I1368" s="474"/>
    </row>
    <row r="1369" spans="6:9" ht="12.75">
      <c r="F1369"/>
      <c r="G1369"/>
      <c r="H1369"/>
      <c r="I1369" s="474"/>
    </row>
    <row r="1370" spans="6:9" ht="12.75">
      <c r="F1370"/>
      <c r="G1370"/>
      <c r="H1370"/>
      <c r="I1370" s="474"/>
    </row>
    <row r="1371" spans="6:9" ht="12.75">
      <c r="F1371"/>
      <c r="G1371"/>
      <c r="H1371"/>
      <c r="I1371" s="474"/>
    </row>
    <row r="1372" spans="6:9" ht="12.75">
      <c r="F1372"/>
      <c r="G1372"/>
      <c r="H1372"/>
      <c r="I1372" s="474"/>
    </row>
    <row r="1373" spans="6:9" ht="12.75">
      <c r="F1373"/>
      <c r="G1373"/>
      <c r="H1373"/>
      <c r="I1373" s="474"/>
    </row>
    <row r="1374" spans="6:9" ht="12.75">
      <c r="F1374"/>
      <c r="G1374"/>
      <c r="H1374"/>
      <c r="I1374" s="474"/>
    </row>
    <row r="1375" spans="6:9" ht="12.75">
      <c r="F1375"/>
      <c r="G1375"/>
      <c r="H1375"/>
      <c r="I1375" s="474"/>
    </row>
    <row r="1376" spans="6:9" ht="12.75">
      <c r="F1376"/>
      <c r="G1376"/>
      <c r="H1376"/>
      <c r="I1376" s="474"/>
    </row>
    <row r="1377" spans="6:9" ht="12.75">
      <c r="F1377"/>
      <c r="G1377"/>
      <c r="H1377"/>
      <c r="I1377" s="474"/>
    </row>
    <row r="1378" spans="6:9" ht="12.75">
      <c r="F1378"/>
      <c r="G1378"/>
      <c r="H1378"/>
      <c r="I1378" s="474"/>
    </row>
    <row r="1379" spans="6:9" ht="12.75">
      <c r="F1379"/>
      <c r="G1379"/>
      <c r="H1379"/>
      <c r="I1379" s="474"/>
    </row>
    <row r="1380" spans="6:9" ht="12.75">
      <c r="F1380"/>
      <c r="G1380"/>
      <c r="H1380"/>
      <c r="I1380" s="474"/>
    </row>
    <row r="1381" spans="6:9" ht="12.75">
      <c r="F1381"/>
      <c r="G1381"/>
      <c r="H1381"/>
      <c r="I1381" s="474"/>
    </row>
    <row r="1382" spans="6:9" ht="12.75">
      <c r="F1382"/>
      <c r="G1382"/>
      <c r="H1382"/>
      <c r="I1382" s="474"/>
    </row>
    <row r="1383" spans="6:9" ht="12.75">
      <c r="F1383"/>
      <c r="G1383"/>
      <c r="H1383"/>
      <c r="I1383" s="474"/>
    </row>
    <row r="1384" spans="6:9" ht="12.75">
      <c r="F1384"/>
      <c r="G1384"/>
      <c r="H1384"/>
      <c r="I1384" s="474"/>
    </row>
    <row r="1385" spans="6:9" ht="12.75">
      <c r="F1385"/>
      <c r="G1385"/>
      <c r="H1385"/>
      <c r="I1385" s="474"/>
    </row>
    <row r="1386" spans="6:9" ht="12.75">
      <c r="F1386"/>
      <c r="G1386"/>
      <c r="H1386"/>
      <c r="I1386" s="474"/>
    </row>
    <row r="1387" spans="6:9" ht="12.75">
      <c r="F1387"/>
      <c r="G1387"/>
      <c r="H1387"/>
      <c r="I1387" s="474"/>
    </row>
    <row r="1388" spans="6:9" ht="12.75">
      <c r="F1388"/>
      <c r="G1388"/>
      <c r="H1388"/>
      <c r="I1388" s="474"/>
    </row>
    <row r="1389" spans="6:9" ht="12.75">
      <c r="F1389"/>
      <c r="G1389"/>
      <c r="H1389"/>
      <c r="I1389" s="474"/>
    </row>
    <row r="1390" spans="6:9" ht="12.75">
      <c r="F1390"/>
      <c r="G1390"/>
      <c r="H1390"/>
      <c r="I1390" s="474"/>
    </row>
    <row r="1391" spans="6:9" ht="12.75">
      <c r="F1391"/>
      <c r="G1391"/>
      <c r="H1391"/>
      <c r="I1391" s="474"/>
    </row>
    <row r="1392" spans="6:9" ht="12.75">
      <c r="F1392"/>
      <c r="G1392"/>
      <c r="H1392"/>
      <c r="I1392" s="474"/>
    </row>
    <row r="1393" spans="6:9" ht="12.75">
      <c r="F1393"/>
      <c r="G1393"/>
      <c r="H1393"/>
      <c r="I1393" s="474"/>
    </row>
    <row r="1394" spans="6:9" ht="12.75">
      <c r="F1394"/>
      <c r="G1394"/>
      <c r="H1394"/>
      <c r="I1394" s="474"/>
    </row>
    <row r="1395" spans="6:9" ht="12.75">
      <c r="F1395"/>
      <c r="G1395"/>
      <c r="H1395"/>
      <c r="I1395" s="474"/>
    </row>
    <row r="1396" spans="6:9" ht="12.75">
      <c r="F1396"/>
      <c r="G1396"/>
      <c r="H1396"/>
      <c r="I1396" s="474"/>
    </row>
    <row r="1397" spans="6:9" ht="12.75">
      <c r="F1397"/>
      <c r="G1397"/>
      <c r="H1397"/>
      <c r="I1397" s="474"/>
    </row>
    <row r="1398" spans="6:9" ht="12.75">
      <c r="F1398"/>
      <c r="G1398"/>
      <c r="H1398"/>
      <c r="I1398" s="474"/>
    </row>
    <row r="1399" spans="6:9" ht="12.75">
      <c r="F1399"/>
      <c r="G1399"/>
      <c r="H1399"/>
      <c r="I1399" s="474"/>
    </row>
    <row r="1400" spans="6:9" ht="12.75">
      <c r="F1400"/>
      <c r="G1400"/>
      <c r="H1400"/>
      <c r="I1400" s="474"/>
    </row>
    <row r="1401" spans="6:9" ht="12.75">
      <c r="F1401"/>
      <c r="G1401"/>
      <c r="H1401"/>
      <c r="I1401" s="474"/>
    </row>
    <row r="1402" spans="6:9" ht="12.75">
      <c r="F1402"/>
      <c r="G1402"/>
      <c r="H1402"/>
      <c r="I1402" s="474"/>
    </row>
    <row r="1403" spans="6:9" ht="12.75">
      <c r="F1403"/>
      <c r="G1403"/>
      <c r="H1403"/>
      <c r="I1403" s="474"/>
    </row>
    <row r="1404" spans="6:9" ht="12.75">
      <c r="F1404"/>
      <c r="G1404"/>
      <c r="H1404"/>
      <c r="I1404" s="474"/>
    </row>
    <row r="1405" spans="6:9" ht="12.75">
      <c r="F1405"/>
      <c r="G1405"/>
      <c r="H1405"/>
      <c r="I1405" s="474"/>
    </row>
    <row r="1406" spans="6:9" ht="12.75">
      <c r="F1406"/>
      <c r="G1406"/>
      <c r="H1406"/>
      <c r="I1406" s="474"/>
    </row>
    <row r="1407" spans="6:9" ht="12.75">
      <c r="F1407"/>
      <c r="G1407"/>
      <c r="H1407"/>
      <c r="I1407" s="474"/>
    </row>
    <row r="1408" spans="6:9" ht="12.75">
      <c r="F1408"/>
      <c r="G1408"/>
      <c r="H1408"/>
      <c r="I1408" s="474"/>
    </row>
    <row r="1409" spans="6:9" ht="12.75">
      <c r="F1409"/>
      <c r="G1409"/>
      <c r="H1409"/>
      <c r="I1409" s="474"/>
    </row>
    <row r="1410" spans="6:9" ht="12.75">
      <c r="F1410"/>
      <c r="G1410"/>
      <c r="H1410"/>
      <c r="I1410" s="474"/>
    </row>
    <row r="1411" spans="6:9" ht="12.75">
      <c r="F1411"/>
      <c r="G1411"/>
      <c r="H1411"/>
      <c r="I1411" s="474"/>
    </row>
    <row r="1412" spans="6:9" ht="12.75">
      <c r="F1412"/>
      <c r="G1412"/>
      <c r="H1412"/>
      <c r="I1412" s="474"/>
    </row>
    <row r="1413" spans="6:9" ht="12.75">
      <c r="F1413"/>
      <c r="G1413"/>
      <c r="H1413"/>
      <c r="I1413" s="474"/>
    </row>
    <row r="1414" spans="6:9" ht="12.75">
      <c r="F1414"/>
      <c r="G1414"/>
      <c r="H1414"/>
      <c r="I1414" s="474"/>
    </row>
    <row r="1415" spans="6:9" ht="12.75">
      <c r="F1415"/>
      <c r="G1415"/>
      <c r="H1415"/>
      <c r="I1415" s="474"/>
    </row>
    <row r="1416" spans="6:9" ht="12.75">
      <c r="F1416"/>
      <c r="G1416"/>
      <c r="H1416"/>
      <c r="I1416" s="474"/>
    </row>
    <row r="1417" spans="6:9" ht="12.75">
      <c r="F1417"/>
      <c r="G1417"/>
      <c r="H1417"/>
      <c r="I1417" s="474"/>
    </row>
    <row r="1418" spans="6:9" ht="12.75">
      <c r="F1418"/>
      <c r="G1418"/>
      <c r="H1418"/>
      <c r="I1418" s="474"/>
    </row>
    <row r="1419" spans="6:9" ht="12.75">
      <c r="F1419"/>
      <c r="G1419"/>
      <c r="H1419"/>
      <c r="I1419" s="474"/>
    </row>
    <row r="1420" spans="6:9" ht="12.75">
      <c r="F1420"/>
      <c r="G1420"/>
      <c r="H1420"/>
      <c r="I1420" s="474"/>
    </row>
    <row r="1421" spans="6:9" ht="12.75">
      <c r="F1421"/>
      <c r="G1421"/>
      <c r="H1421"/>
      <c r="I1421" s="474"/>
    </row>
    <row r="1422" spans="6:9" ht="12.75">
      <c r="F1422"/>
      <c r="G1422"/>
      <c r="H1422"/>
      <c r="I1422" s="474"/>
    </row>
    <row r="1423" spans="6:9" ht="12.75">
      <c r="F1423"/>
      <c r="G1423"/>
      <c r="H1423"/>
      <c r="I1423" s="474"/>
    </row>
    <row r="1424" spans="6:9" ht="12.75">
      <c r="F1424"/>
      <c r="G1424"/>
      <c r="H1424"/>
      <c r="I1424" s="474"/>
    </row>
    <row r="1425" spans="6:9" ht="12.75">
      <c r="F1425"/>
      <c r="G1425"/>
      <c r="H1425"/>
      <c r="I1425" s="474"/>
    </row>
    <row r="1426" spans="6:9" ht="12.75">
      <c r="F1426"/>
      <c r="G1426"/>
      <c r="H1426"/>
      <c r="I1426" s="474"/>
    </row>
    <row r="1427" spans="6:9" ht="12.75">
      <c r="F1427"/>
      <c r="G1427"/>
      <c r="H1427"/>
      <c r="I1427" s="474"/>
    </row>
    <row r="1428" spans="6:9" ht="12.75">
      <c r="F1428"/>
      <c r="G1428"/>
      <c r="H1428"/>
      <c r="I1428" s="474"/>
    </row>
    <row r="1429" spans="6:9" ht="12.75">
      <c r="F1429"/>
      <c r="G1429"/>
      <c r="H1429"/>
      <c r="I1429" s="474"/>
    </row>
    <row r="1430" spans="6:9" ht="12.75">
      <c r="F1430"/>
      <c r="G1430"/>
      <c r="H1430"/>
      <c r="I1430" s="474"/>
    </row>
    <row r="1431" spans="6:9" ht="12.75">
      <c r="F1431"/>
      <c r="G1431"/>
      <c r="H1431"/>
      <c r="I1431" s="474"/>
    </row>
    <row r="1432" spans="6:9" ht="12.75">
      <c r="F1432"/>
      <c r="G1432"/>
      <c r="H1432"/>
      <c r="I1432" s="474"/>
    </row>
    <row r="1433" spans="6:9" ht="12.75">
      <c r="F1433"/>
      <c r="G1433"/>
      <c r="H1433"/>
      <c r="I1433" s="474"/>
    </row>
    <row r="1434" spans="6:9" ht="12.75">
      <c r="F1434"/>
      <c r="G1434"/>
      <c r="H1434"/>
      <c r="I1434" s="474"/>
    </row>
    <row r="1435" spans="6:9" ht="12.75">
      <c r="F1435"/>
      <c r="G1435"/>
      <c r="H1435"/>
      <c r="I1435" s="474"/>
    </row>
    <row r="1436" spans="6:9" ht="12.75">
      <c r="F1436"/>
      <c r="G1436"/>
      <c r="H1436"/>
      <c r="I1436" s="474"/>
    </row>
    <row r="1437" spans="6:9" ht="12.75">
      <c r="F1437"/>
      <c r="G1437"/>
      <c r="H1437"/>
      <c r="I1437" s="474"/>
    </row>
    <row r="1438" spans="6:9" ht="12.75">
      <c r="F1438"/>
      <c r="G1438"/>
      <c r="H1438"/>
      <c r="I1438" s="474"/>
    </row>
    <row r="1439" spans="6:9" ht="12.75">
      <c r="F1439"/>
      <c r="G1439"/>
      <c r="H1439"/>
      <c r="I1439" s="474"/>
    </row>
    <row r="1440" spans="6:9" ht="12.75">
      <c r="F1440"/>
      <c r="G1440"/>
      <c r="H1440"/>
      <c r="I1440" s="474"/>
    </row>
    <row r="1441" spans="6:9" ht="12.75">
      <c r="F1441"/>
      <c r="G1441"/>
      <c r="H1441"/>
      <c r="I1441" s="474"/>
    </row>
    <row r="1442" spans="6:9" ht="12.75">
      <c r="F1442"/>
      <c r="G1442"/>
      <c r="H1442"/>
      <c r="I1442" s="474"/>
    </row>
    <row r="1443" spans="6:9" ht="12.75">
      <c r="F1443"/>
      <c r="G1443"/>
      <c r="H1443"/>
      <c r="I1443" s="474"/>
    </row>
    <row r="1444" spans="6:9" ht="12.75">
      <c r="F1444"/>
      <c r="G1444"/>
      <c r="H1444"/>
      <c r="I1444" s="474"/>
    </row>
    <row r="1445" spans="6:9" ht="12.75">
      <c r="F1445"/>
      <c r="G1445"/>
      <c r="H1445"/>
      <c r="I1445" s="474"/>
    </row>
    <row r="1446" spans="6:9" ht="12.75">
      <c r="F1446"/>
      <c r="G1446"/>
      <c r="H1446"/>
      <c r="I1446" s="474"/>
    </row>
    <row r="1447" spans="6:9" ht="12.75">
      <c r="F1447"/>
      <c r="G1447"/>
      <c r="H1447"/>
      <c r="I1447" s="474"/>
    </row>
    <row r="1448" spans="6:9" ht="12.75">
      <c r="F1448"/>
      <c r="G1448"/>
      <c r="H1448"/>
      <c r="I1448" s="474"/>
    </row>
    <row r="1449" spans="6:9" ht="12.75">
      <c r="F1449"/>
      <c r="G1449"/>
      <c r="H1449"/>
      <c r="I1449" s="474"/>
    </row>
    <row r="1450" spans="6:9" ht="12.75">
      <c r="F1450"/>
      <c r="G1450"/>
      <c r="H1450"/>
      <c r="I1450" s="474"/>
    </row>
    <row r="1451" spans="6:9" ht="12.75">
      <c r="F1451"/>
      <c r="G1451"/>
      <c r="H1451"/>
      <c r="I1451" s="474"/>
    </row>
    <row r="1452" spans="6:9" ht="12.75">
      <c r="F1452"/>
      <c r="G1452"/>
      <c r="H1452"/>
      <c r="I1452" s="474"/>
    </row>
    <row r="1453" spans="6:9" ht="12.75">
      <c r="F1453"/>
      <c r="G1453"/>
      <c r="H1453"/>
      <c r="I1453" s="474"/>
    </row>
    <row r="1454" spans="6:9" ht="12.75">
      <c r="F1454"/>
      <c r="G1454"/>
      <c r="H1454"/>
      <c r="I1454" s="474"/>
    </row>
    <row r="1455" spans="6:9" ht="12.75">
      <c r="F1455"/>
      <c r="G1455"/>
      <c r="H1455"/>
      <c r="I1455" s="474"/>
    </row>
    <row r="1456" spans="6:9" ht="12.75">
      <c r="F1456"/>
      <c r="G1456"/>
      <c r="H1456"/>
      <c r="I1456" s="474"/>
    </row>
    <row r="1457" spans="6:9" ht="12.75">
      <c r="F1457"/>
      <c r="G1457"/>
      <c r="H1457"/>
      <c r="I1457" s="474"/>
    </row>
    <row r="1458" spans="6:9" ht="12.75">
      <c r="F1458"/>
      <c r="G1458"/>
      <c r="H1458"/>
      <c r="I1458" s="474"/>
    </row>
    <row r="1459" spans="6:9" ht="12.75">
      <c r="F1459"/>
      <c r="G1459"/>
      <c r="H1459"/>
      <c r="I1459" s="474"/>
    </row>
    <row r="1460" spans="6:9" ht="12.75">
      <c r="F1460"/>
      <c r="G1460"/>
      <c r="H1460"/>
      <c r="I1460" s="474"/>
    </row>
    <row r="1461" spans="6:9" ht="12.75">
      <c r="F1461"/>
      <c r="G1461"/>
      <c r="H1461"/>
      <c r="I1461" s="474"/>
    </row>
    <row r="1462" spans="6:9" ht="12.75">
      <c r="F1462"/>
      <c r="G1462"/>
      <c r="H1462"/>
      <c r="I1462" s="474"/>
    </row>
    <row r="1463" spans="6:9" ht="12.75">
      <c r="F1463"/>
      <c r="G1463"/>
      <c r="H1463"/>
      <c r="I1463" s="474"/>
    </row>
    <row r="1464" spans="6:9" ht="12.75">
      <c r="F1464"/>
      <c r="G1464"/>
      <c r="H1464"/>
      <c r="I1464" s="474"/>
    </row>
    <row r="1465" spans="6:9" ht="12.75">
      <c r="F1465"/>
      <c r="G1465"/>
      <c r="H1465"/>
      <c r="I1465" s="474"/>
    </row>
    <row r="1466" spans="6:9" ht="12.75">
      <c r="F1466"/>
      <c r="G1466"/>
      <c r="H1466"/>
      <c r="I1466" s="474"/>
    </row>
    <row r="1467" spans="6:9" ht="12.75">
      <c r="F1467"/>
      <c r="G1467"/>
      <c r="H1467"/>
      <c r="I1467" s="474"/>
    </row>
    <row r="1468" spans="6:9" ht="12.75">
      <c r="F1468"/>
      <c r="G1468"/>
      <c r="H1468"/>
      <c r="I1468" s="474"/>
    </row>
    <row r="1469" spans="6:9" ht="12.75">
      <c r="F1469"/>
      <c r="G1469"/>
      <c r="H1469"/>
      <c r="I1469" s="474"/>
    </row>
    <row r="1470" spans="6:9" ht="12.75">
      <c r="F1470"/>
      <c r="G1470"/>
      <c r="H1470"/>
      <c r="I1470" s="474"/>
    </row>
    <row r="1471" spans="6:9" ht="12.75">
      <c r="F1471"/>
      <c r="G1471"/>
      <c r="H1471"/>
      <c r="I1471" s="474"/>
    </row>
    <row r="1472" spans="6:9" ht="12.75">
      <c r="F1472"/>
      <c r="G1472"/>
      <c r="H1472"/>
      <c r="I1472" s="474"/>
    </row>
    <row r="1473" spans="6:9" ht="12.75">
      <c r="F1473"/>
      <c r="G1473"/>
      <c r="H1473"/>
      <c r="I1473" s="474"/>
    </row>
    <row r="1474" spans="6:9" ht="12.75">
      <c r="F1474"/>
      <c r="G1474"/>
      <c r="H1474"/>
      <c r="I1474" s="474"/>
    </row>
    <row r="1475" spans="6:9" ht="12.75">
      <c r="F1475"/>
      <c r="G1475"/>
      <c r="H1475"/>
      <c r="I1475" s="474"/>
    </row>
    <row r="1476" spans="6:9" ht="12.75">
      <c r="F1476"/>
      <c r="G1476"/>
      <c r="H1476"/>
      <c r="I1476" s="474"/>
    </row>
    <row r="1477" spans="6:9" ht="12.75">
      <c r="F1477"/>
      <c r="G1477"/>
      <c r="H1477"/>
      <c r="I1477" s="474"/>
    </row>
    <row r="1478" spans="6:9" ht="12.75">
      <c r="F1478"/>
      <c r="G1478"/>
      <c r="H1478"/>
      <c r="I1478" s="474"/>
    </row>
    <row r="1479" spans="6:9" ht="12.75">
      <c r="F1479"/>
      <c r="G1479"/>
      <c r="H1479"/>
      <c r="I1479" s="474"/>
    </row>
    <row r="1480" spans="6:9" ht="12.75">
      <c r="F1480"/>
      <c r="G1480"/>
      <c r="H1480"/>
      <c r="I1480" s="474"/>
    </row>
    <row r="1481" spans="6:9" ht="12.75">
      <c r="F1481"/>
      <c r="G1481"/>
      <c r="H1481"/>
      <c r="I1481" s="474"/>
    </row>
    <row r="1482" spans="6:9" ht="12.75">
      <c r="F1482"/>
      <c r="G1482"/>
      <c r="H1482"/>
      <c r="I1482" s="474"/>
    </row>
    <row r="1483" spans="6:9" ht="12.75">
      <c r="F1483"/>
      <c r="G1483"/>
      <c r="H1483"/>
      <c r="I1483" s="474"/>
    </row>
    <row r="1484" spans="6:9" ht="12.75">
      <c r="F1484"/>
      <c r="G1484"/>
      <c r="H1484"/>
      <c r="I1484" s="474"/>
    </row>
    <row r="1485" spans="6:9" ht="12.75">
      <c r="F1485"/>
      <c r="G1485"/>
      <c r="H1485"/>
      <c r="I1485" s="474"/>
    </row>
    <row r="1486" spans="6:9" ht="12.75">
      <c r="F1486"/>
      <c r="G1486"/>
      <c r="H1486"/>
      <c r="I1486" s="474"/>
    </row>
    <row r="1487" spans="6:9" ht="12.75">
      <c r="F1487"/>
      <c r="G1487"/>
      <c r="H1487"/>
      <c r="I1487" s="474"/>
    </row>
    <row r="1488" spans="6:9" ht="12.75">
      <c r="F1488"/>
      <c r="G1488"/>
      <c r="H1488"/>
      <c r="I1488" s="474"/>
    </row>
    <row r="1489" spans="6:9" ht="12.75">
      <c r="F1489"/>
      <c r="G1489"/>
      <c r="H1489"/>
      <c r="I1489" s="474"/>
    </row>
    <row r="1490" spans="6:9" ht="12.75">
      <c r="F1490"/>
      <c r="G1490"/>
      <c r="H1490"/>
      <c r="I1490" s="474"/>
    </row>
    <row r="1491" spans="6:9" ht="12.75">
      <c r="F1491"/>
      <c r="G1491"/>
      <c r="H1491"/>
      <c r="I1491" s="474"/>
    </row>
    <row r="1492" spans="6:9" ht="12.75">
      <c r="F1492"/>
      <c r="G1492"/>
      <c r="H1492"/>
      <c r="I1492" s="474"/>
    </row>
    <row r="1493" spans="6:9" ht="12.75">
      <c r="F1493"/>
      <c r="G1493"/>
      <c r="H1493"/>
      <c r="I1493" s="474"/>
    </row>
    <row r="1494" spans="6:9" ht="12.75">
      <c r="F1494"/>
      <c r="G1494"/>
      <c r="H1494"/>
      <c r="I1494" s="474"/>
    </row>
    <row r="1495" spans="6:9" ht="12.75">
      <c r="F1495"/>
      <c r="G1495"/>
      <c r="H1495"/>
      <c r="I1495" s="474"/>
    </row>
    <row r="1496" spans="6:9" ht="12.75">
      <c r="F1496"/>
      <c r="G1496"/>
      <c r="H1496"/>
      <c r="I1496" s="474"/>
    </row>
    <row r="1497" spans="6:9" ht="12.75">
      <c r="F1497"/>
      <c r="G1497"/>
      <c r="H1497"/>
      <c r="I1497" s="474"/>
    </row>
    <row r="1498" spans="6:9" ht="12.75">
      <c r="F1498"/>
      <c r="G1498"/>
      <c r="H1498"/>
      <c r="I1498" s="474"/>
    </row>
    <row r="1499" spans="6:9" ht="12.75">
      <c r="F1499"/>
      <c r="G1499"/>
      <c r="H1499"/>
      <c r="I1499" s="474"/>
    </row>
    <row r="1500" spans="6:9" ht="12.75">
      <c r="F1500"/>
      <c r="G1500"/>
      <c r="H1500"/>
      <c r="I1500" s="474"/>
    </row>
    <row r="1501" spans="6:9" ht="12.75">
      <c r="F1501"/>
      <c r="G1501"/>
      <c r="H1501"/>
      <c r="I1501" s="474"/>
    </row>
    <row r="1502" spans="6:9" ht="12.75">
      <c r="F1502"/>
      <c r="G1502"/>
      <c r="H1502"/>
      <c r="I1502" s="474"/>
    </row>
    <row r="1503" spans="6:9" ht="12.75">
      <c r="F1503"/>
      <c r="G1503"/>
      <c r="H1503"/>
      <c r="I1503" s="474"/>
    </row>
    <row r="1504" spans="6:9" ht="12.75">
      <c r="F1504"/>
      <c r="G1504"/>
      <c r="H1504"/>
      <c r="I1504" s="474"/>
    </row>
    <row r="1505" spans="6:9" ht="12.75">
      <c r="F1505"/>
      <c r="G1505"/>
      <c r="H1505"/>
      <c r="I1505" s="474"/>
    </row>
    <row r="1506" spans="6:9" ht="12.75">
      <c r="F1506"/>
      <c r="G1506"/>
      <c r="H1506"/>
      <c r="I1506" s="474"/>
    </row>
    <row r="1507" spans="6:9" ht="12.75">
      <c r="F1507"/>
      <c r="G1507"/>
      <c r="H1507"/>
      <c r="I1507" s="474"/>
    </row>
    <row r="1508" spans="6:9" ht="12.75">
      <c r="F1508"/>
      <c r="G1508"/>
      <c r="H1508"/>
      <c r="I1508" s="474"/>
    </row>
    <row r="1509" spans="6:9" ht="12.75">
      <c r="F1509"/>
      <c r="G1509"/>
      <c r="H1509"/>
      <c r="I1509" s="474"/>
    </row>
    <row r="1510" spans="6:9" ht="12.75">
      <c r="F1510"/>
      <c r="G1510"/>
      <c r="H1510"/>
      <c r="I1510" s="474"/>
    </row>
    <row r="1511" spans="6:9" ht="12.75">
      <c r="F1511"/>
      <c r="G1511"/>
      <c r="H1511"/>
      <c r="I1511" s="474"/>
    </row>
  </sheetData>
  <mergeCells count="57">
    <mergeCell ref="A308:A315"/>
    <mergeCell ref="A316:A323"/>
    <mergeCell ref="A324:A331"/>
    <mergeCell ref="A332:A339"/>
    <mergeCell ref="A394:E394"/>
    <mergeCell ref="A340:A347"/>
    <mergeCell ref="A348:A355"/>
    <mergeCell ref="A356:A363"/>
    <mergeCell ref="A365:A368"/>
    <mergeCell ref="B393:E393"/>
    <mergeCell ref="A369:A376"/>
    <mergeCell ref="A377:A384"/>
    <mergeCell ref="A385:A392"/>
    <mergeCell ref="A304:A307"/>
    <mergeCell ref="A247:A254"/>
    <mergeCell ref="A255:A262"/>
    <mergeCell ref="A263:A270"/>
    <mergeCell ref="A271:A278"/>
    <mergeCell ref="A279:A286"/>
    <mergeCell ref="A287:A294"/>
    <mergeCell ref="A226:A233"/>
    <mergeCell ref="A234:A241"/>
    <mergeCell ref="A243:A246"/>
    <mergeCell ref="A295:A302"/>
    <mergeCell ref="A194:A201"/>
    <mergeCell ref="A202:A209"/>
    <mergeCell ref="A210:A217"/>
    <mergeCell ref="A218:A225"/>
    <mergeCell ref="A164:A171"/>
    <mergeCell ref="A172:A179"/>
    <mergeCell ref="A182:A185"/>
    <mergeCell ref="A186:A193"/>
    <mergeCell ref="A132:A139"/>
    <mergeCell ref="A140:A147"/>
    <mergeCell ref="A148:A155"/>
    <mergeCell ref="A156:A163"/>
    <mergeCell ref="A103:A110"/>
    <mergeCell ref="A111:A118"/>
    <mergeCell ref="A120:A123"/>
    <mergeCell ref="A124:A131"/>
    <mergeCell ref="A71:A78"/>
    <mergeCell ref="A79:A86"/>
    <mergeCell ref="A87:A94"/>
    <mergeCell ref="A95:A102"/>
    <mergeCell ref="A41:A48"/>
    <mergeCell ref="A49:A56"/>
    <mergeCell ref="A59:A62"/>
    <mergeCell ref="A63:A70"/>
    <mergeCell ref="A9:A16"/>
    <mergeCell ref="A17:A24"/>
    <mergeCell ref="A25:A32"/>
    <mergeCell ref="A33:A40"/>
    <mergeCell ref="A1:E1"/>
    <mergeCell ref="A2:E2"/>
    <mergeCell ref="A3:E3"/>
    <mergeCell ref="A5:A8"/>
    <mergeCell ref="A4:E4"/>
  </mergeCells>
  <printOptions/>
  <pageMargins left="0.75" right="0.75" top="1" bottom="1" header="0.5" footer="0.5"/>
  <pageSetup orientation="portrait" paperSize="9"/>
  <ignoredErrors>
    <ignoredError sqref="A9:A32" numberStoredAsText="1"/>
  </ignoredErrors>
</worksheet>
</file>

<file path=xl/worksheets/sheet27.xml><?xml version="1.0" encoding="utf-8"?>
<worksheet xmlns="http://schemas.openxmlformats.org/spreadsheetml/2006/main" xmlns:r="http://schemas.openxmlformats.org/officeDocument/2006/relationships">
  <sheetPr>
    <tabColor indexed="12"/>
  </sheetPr>
  <dimension ref="A1:I17"/>
  <sheetViews>
    <sheetView showGridLines="0" workbookViewId="0" topLeftCell="A1">
      <selection activeCell="A6" sqref="A6"/>
    </sheetView>
  </sheetViews>
  <sheetFormatPr defaultColWidth="9.00390625" defaultRowHeight="12.75"/>
  <cols>
    <col min="1" max="1" width="10.625" style="1" customWidth="1"/>
    <col min="2" max="2" width="13.875" style="1" customWidth="1"/>
    <col min="3" max="3" width="15.00390625" style="1" customWidth="1"/>
    <col min="4" max="4" width="14.75390625" style="1" customWidth="1"/>
    <col min="5" max="6" width="15.75390625" style="1" customWidth="1"/>
    <col min="7" max="7" width="13.125" style="1" customWidth="1"/>
    <col min="8" max="8" width="12.25390625" style="1" customWidth="1"/>
    <col min="9" max="9" width="14.875" style="1" customWidth="1"/>
    <col min="10" max="16384" width="9.125" style="1" customWidth="1"/>
  </cols>
  <sheetData>
    <row r="1" spans="1:9" ht="44.25" customHeight="1">
      <c r="A1" s="775" t="s">
        <v>687</v>
      </c>
      <c r="B1" s="775"/>
      <c r="C1" s="775"/>
      <c r="D1" s="775"/>
      <c r="E1" s="775"/>
      <c r="F1" s="775"/>
      <c r="G1" s="775"/>
      <c r="H1" s="775"/>
      <c r="I1" s="775"/>
    </row>
    <row r="2" spans="1:9" ht="17.25" customHeight="1">
      <c r="A2" s="763" t="s">
        <v>656</v>
      </c>
      <c r="B2" s="763"/>
      <c r="C2" s="456"/>
      <c r="D2" s="456"/>
      <c r="E2" s="456"/>
      <c r="F2" s="456"/>
      <c r="G2" s="456"/>
      <c r="H2" s="456"/>
      <c r="I2" s="456"/>
    </row>
    <row r="3" spans="1:9" s="97" customFormat="1" ht="21.75" customHeight="1" thickBot="1">
      <c r="A3" s="767" t="s">
        <v>669</v>
      </c>
      <c r="B3" s="767"/>
      <c r="C3" s="767"/>
      <c r="D3" s="767"/>
      <c r="E3" s="778"/>
      <c r="F3" s="778"/>
      <c r="G3" s="779"/>
      <c r="H3" s="779"/>
      <c r="I3" s="779"/>
    </row>
    <row r="4" spans="1:9" s="52" customFormat="1" ht="35.25" customHeight="1" thickTop="1">
      <c r="A4" s="773" t="s">
        <v>657</v>
      </c>
      <c r="B4" s="776" t="s">
        <v>668</v>
      </c>
      <c r="C4" s="776"/>
      <c r="D4" s="776"/>
      <c r="E4" s="776" t="s">
        <v>667</v>
      </c>
      <c r="F4" s="776"/>
      <c r="G4" s="776"/>
      <c r="H4" s="776"/>
      <c r="I4" s="777"/>
    </row>
    <row r="5" spans="1:9" s="52" customFormat="1" ht="42.75" customHeight="1">
      <c r="A5" s="774"/>
      <c r="B5" s="464" t="s">
        <v>658</v>
      </c>
      <c r="C5" s="464" t="s">
        <v>659</v>
      </c>
      <c r="D5" s="464" t="s">
        <v>268</v>
      </c>
      <c r="E5" s="464" t="s">
        <v>660</v>
      </c>
      <c r="F5" s="464" t="s">
        <v>701</v>
      </c>
      <c r="G5" s="464" t="s">
        <v>661</v>
      </c>
      <c r="H5" s="464" t="s">
        <v>662</v>
      </c>
      <c r="I5" s="465" t="s">
        <v>268</v>
      </c>
    </row>
    <row r="6" spans="1:9" s="457" customFormat="1" ht="42" customHeight="1" thickBot="1">
      <c r="A6" s="466">
        <v>301427</v>
      </c>
      <c r="B6" s="467">
        <v>1836117155.38</v>
      </c>
      <c r="C6" s="467">
        <v>1287635373.02</v>
      </c>
      <c r="D6" s="467">
        <f>C6+B6</f>
        <v>3123752528.4</v>
      </c>
      <c r="E6" s="467">
        <v>146214696.04</v>
      </c>
      <c r="F6" s="467">
        <v>85245373.54</v>
      </c>
      <c r="G6" s="467">
        <v>12554169.34</v>
      </c>
      <c r="H6" s="467">
        <v>509587.67</v>
      </c>
      <c r="I6" s="468">
        <f>+H6+G6+F6+E6</f>
        <v>244523826.59</v>
      </c>
    </row>
    <row r="7" spans="1:9" ht="13.5" thickTop="1">
      <c r="A7" s="454"/>
      <c r="B7" s="455"/>
      <c r="C7" s="455"/>
      <c r="D7" s="455"/>
      <c r="E7" s="455"/>
      <c r="F7" s="455"/>
      <c r="G7" s="455"/>
      <c r="H7" s="455"/>
      <c r="I7" s="455"/>
    </row>
    <row r="8" spans="1:9" ht="26.25" customHeight="1">
      <c r="A8" s="763" t="s">
        <v>663</v>
      </c>
      <c r="B8" s="763"/>
      <c r="C8" s="455"/>
      <c r="D8" s="455"/>
      <c r="E8" s="455"/>
      <c r="F8" s="455"/>
      <c r="G8" s="455"/>
      <c r="H8" s="455"/>
      <c r="I8" s="455"/>
    </row>
    <row r="9" spans="1:9" ht="28.5" customHeight="1" thickBot="1">
      <c r="A9" s="764" t="s">
        <v>670</v>
      </c>
      <c r="B9" s="764"/>
      <c r="C9" s="765"/>
      <c r="D9" s="765"/>
      <c r="E9" s="765"/>
      <c r="F9" s="765"/>
      <c r="G9" s="765"/>
      <c r="H9" s="765"/>
      <c r="I9" s="765"/>
    </row>
    <row r="10" spans="1:9" ht="13.5" thickTop="1">
      <c r="A10" s="773" t="s">
        <v>657</v>
      </c>
      <c r="B10" s="742" t="s">
        <v>664</v>
      </c>
      <c r="C10" s="742"/>
      <c r="D10" s="742"/>
      <c r="E10" s="742" t="s">
        <v>665</v>
      </c>
      <c r="F10" s="742"/>
      <c r="G10" s="742"/>
      <c r="H10" s="742"/>
      <c r="I10" s="744"/>
    </row>
    <row r="11" spans="1:9" ht="26.25" customHeight="1">
      <c r="A11" s="774"/>
      <c r="B11" s="743"/>
      <c r="C11" s="743"/>
      <c r="D11" s="743"/>
      <c r="E11" s="743"/>
      <c r="F11" s="743"/>
      <c r="G11" s="743"/>
      <c r="H11" s="743"/>
      <c r="I11" s="745"/>
    </row>
    <row r="12" spans="1:9" s="458" customFormat="1" ht="23.25" customHeight="1" thickBot="1">
      <c r="A12" s="466">
        <f>4650+1103</f>
        <v>5753</v>
      </c>
      <c r="B12" s="768">
        <v>3933938.71</v>
      </c>
      <c r="C12" s="769"/>
      <c r="D12" s="769"/>
      <c r="E12" s="768">
        <v>1930811.39</v>
      </c>
      <c r="F12" s="768"/>
      <c r="G12" s="769"/>
      <c r="H12" s="769"/>
      <c r="I12" s="770"/>
    </row>
    <row r="13" spans="1:9" s="471" customFormat="1" ht="39.75" customHeight="1" thickTop="1">
      <c r="A13" s="766" t="s">
        <v>666</v>
      </c>
      <c r="B13" s="766"/>
      <c r="C13" s="470"/>
      <c r="D13" s="470"/>
      <c r="E13" s="469"/>
      <c r="F13" s="469"/>
      <c r="G13" s="470"/>
      <c r="H13" s="470"/>
      <c r="I13" s="470"/>
    </row>
    <row r="14" spans="1:9" ht="28.5" customHeight="1" thickBot="1">
      <c r="A14" s="767" t="s">
        <v>671</v>
      </c>
      <c r="B14" s="767"/>
      <c r="C14" s="765"/>
      <c r="D14" s="765"/>
      <c r="E14" s="765"/>
      <c r="F14" s="765"/>
      <c r="G14" s="765"/>
      <c r="H14" s="765"/>
      <c r="I14" s="765"/>
    </row>
    <row r="15" spans="1:9" ht="13.5" thickTop="1">
      <c r="A15" s="771" t="s">
        <v>657</v>
      </c>
      <c r="B15" s="742" t="s">
        <v>664</v>
      </c>
      <c r="C15" s="742"/>
      <c r="D15" s="742"/>
      <c r="E15" s="742" t="s">
        <v>665</v>
      </c>
      <c r="F15" s="742"/>
      <c r="G15" s="742"/>
      <c r="H15" s="742"/>
      <c r="I15" s="744"/>
    </row>
    <row r="16" spans="1:9" ht="26.25" customHeight="1">
      <c r="A16" s="772"/>
      <c r="B16" s="743"/>
      <c r="C16" s="743"/>
      <c r="D16" s="743"/>
      <c r="E16" s="743"/>
      <c r="F16" s="743"/>
      <c r="G16" s="743"/>
      <c r="H16" s="743"/>
      <c r="I16" s="745"/>
    </row>
    <row r="17" spans="1:9" ht="23.25" customHeight="1" thickBot="1">
      <c r="A17" s="466">
        <v>10143</v>
      </c>
      <c r="B17" s="768">
        <v>61544847.21</v>
      </c>
      <c r="C17" s="769"/>
      <c r="D17" s="769"/>
      <c r="E17" s="768">
        <v>10948370.21</v>
      </c>
      <c r="F17" s="768"/>
      <c r="G17" s="769"/>
      <c r="H17" s="769"/>
      <c r="I17" s="770"/>
    </row>
    <row r="18" ht="13.5" thickTop="1"/>
  </sheetData>
  <mergeCells count="20">
    <mergeCell ref="A1:I1"/>
    <mergeCell ref="A4:A5"/>
    <mergeCell ref="B4:D4"/>
    <mergeCell ref="E4:I4"/>
    <mergeCell ref="A2:B2"/>
    <mergeCell ref="A3:I3"/>
    <mergeCell ref="A15:A16"/>
    <mergeCell ref="B15:D16"/>
    <mergeCell ref="E15:I16"/>
    <mergeCell ref="A10:A11"/>
    <mergeCell ref="B10:D11"/>
    <mergeCell ref="E10:I11"/>
    <mergeCell ref="B17:D17"/>
    <mergeCell ref="E17:I17"/>
    <mergeCell ref="B12:D12"/>
    <mergeCell ref="E12:I12"/>
    <mergeCell ref="A8:B8"/>
    <mergeCell ref="A9:I9"/>
    <mergeCell ref="A13:B13"/>
    <mergeCell ref="A14:I14"/>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tabColor indexed="12"/>
  </sheetPr>
  <dimension ref="A1:Q48"/>
  <sheetViews>
    <sheetView showGridLines="0" workbookViewId="0" topLeftCell="A1">
      <selection activeCell="G6" sqref="G6"/>
    </sheetView>
  </sheetViews>
  <sheetFormatPr defaultColWidth="9.00390625" defaultRowHeight="12.75"/>
  <cols>
    <col min="1" max="1" width="11.875" style="320" customWidth="1"/>
    <col min="2" max="2" width="17.125" style="320" customWidth="1"/>
    <col min="3" max="3" width="3.875" style="320" customWidth="1"/>
    <col min="4" max="4" width="14.375" style="320" customWidth="1"/>
    <col min="5" max="5" width="17.00390625" style="320" customWidth="1"/>
    <col min="6" max="6" width="3.25390625" style="320" customWidth="1"/>
    <col min="7" max="7" width="10.25390625" style="320" customWidth="1"/>
    <col min="8" max="8" width="13.75390625" style="320" customWidth="1"/>
    <col min="9" max="9" width="3.00390625" style="320" customWidth="1"/>
    <col min="10" max="10" width="2.00390625" style="320" customWidth="1"/>
    <col min="11" max="11" width="10.625" style="320" customWidth="1"/>
    <col min="12" max="12" width="22.375" style="320" customWidth="1"/>
    <col min="13" max="13" width="1.00390625" style="320" customWidth="1"/>
    <col min="14" max="14" width="15.375" style="320" customWidth="1"/>
    <col min="15" max="15" width="15.75390625" style="320" customWidth="1"/>
    <col min="16" max="16" width="9.25390625" style="320" customWidth="1"/>
    <col min="17" max="17" width="15.875" style="320" customWidth="1"/>
    <col min="18" max="16384" width="9.125" style="320" customWidth="1"/>
  </cols>
  <sheetData>
    <row r="1" spans="1:17" ht="18.75">
      <c r="A1" s="515" t="s">
        <v>335</v>
      </c>
      <c r="B1" s="515"/>
      <c r="C1" s="515"/>
      <c r="D1" s="515"/>
      <c r="E1" s="515"/>
      <c r="F1" s="515"/>
      <c r="G1" s="515"/>
      <c r="H1" s="515"/>
      <c r="I1" s="515"/>
      <c r="J1" s="515"/>
      <c r="K1" s="515"/>
      <c r="L1" s="515"/>
      <c r="M1" s="515"/>
      <c r="N1" s="515"/>
      <c r="O1" s="515"/>
      <c r="P1" s="515"/>
      <c r="Q1" s="321"/>
    </row>
    <row r="2" spans="1:17" ht="13.5" thickBot="1">
      <c r="A2" s="322"/>
      <c r="B2" s="322"/>
      <c r="C2" s="322"/>
      <c r="D2" s="322"/>
      <c r="E2" s="322"/>
      <c r="F2" s="322"/>
      <c r="G2" s="322"/>
      <c r="H2" s="322"/>
      <c r="I2" s="322"/>
      <c r="J2" s="322"/>
      <c r="K2" s="322"/>
      <c r="L2" s="322"/>
      <c r="M2" s="322"/>
      <c r="N2" s="322"/>
      <c r="O2" s="322"/>
      <c r="P2" s="322"/>
      <c r="Q2" s="322"/>
    </row>
    <row r="3" spans="1:17" ht="14.25" thickBot="1" thickTop="1">
      <c r="A3" s="322"/>
      <c r="B3" s="322"/>
      <c r="C3" s="322"/>
      <c r="D3" s="322"/>
      <c r="E3" s="322"/>
      <c r="F3" s="322"/>
      <c r="G3" s="322"/>
      <c r="H3" s="323" t="s">
        <v>336</v>
      </c>
      <c r="I3" s="324"/>
      <c r="J3" s="322"/>
      <c r="K3" s="322"/>
      <c r="L3" s="322"/>
      <c r="M3" s="322"/>
      <c r="N3" s="322"/>
      <c r="O3" s="322"/>
      <c r="P3" s="322"/>
      <c r="Q3" s="322"/>
    </row>
    <row r="4" spans="1:17" ht="14.25" thickBot="1" thickTop="1">
      <c r="A4" s="322"/>
      <c r="B4" s="322"/>
      <c r="C4" s="322"/>
      <c r="D4" s="322"/>
      <c r="E4" s="322"/>
      <c r="F4" s="322"/>
      <c r="G4" s="322"/>
      <c r="H4" s="322"/>
      <c r="I4" s="322"/>
      <c r="J4" s="322"/>
      <c r="K4" s="322"/>
      <c r="L4" s="322"/>
      <c r="M4" s="322"/>
      <c r="N4" s="322"/>
      <c r="O4" s="322"/>
      <c r="P4" s="322"/>
      <c r="Q4" s="322"/>
    </row>
    <row r="5" spans="1:17" ht="14.25" thickBot="1" thickTop="1">
      <c r="A5" s="322"/>
      <c r="B5" s="322"/>
      <c r="C5" s="322"/>
      <c r="D5" s="322"/>
      <c r="E5" s="322"/>
      <c r="F5" s="322"/>
      <c r="G5" s="322"/>
      <c r="H5" s="323" t="s">
        <v>337</v>
      </c>
      <c r="I5" s="324"/>
      <c r="J5" s="322"/>
      <c r="K5" s="322"/>
      <c r="L5" s="322"/>
      <c r="M5" s="322"/>
      <c r="N5" s="322"/>
      <c r="O5" s="322"/>
      <c r="P5" s="322"/>
      <c r="Q5" s="322"/>
    </row>
    <row r="6" spans="1:17" ht="14.25" thickBot="1" thickTop="1">
      <c r="A6" s="322"/>
      <c r="B6" s="322"/>
      <c r="C6" s="322"/>
      <c r="D6" s="322"/>
      <c r="E6" s="322"/>
      <c r="F6" s="322"/>
      <c r="G6" s="322"/>
      <c r="H6" s="322"/>
      <c r="I6" s="322"/>
      <c r="J6" s="322"/>
      <c r="K6" s="322"/>
      <c r="L6" s="322"/>
      <c r="M6" s="322"/>
      <c r="N6" s="322"/>
      <c r="O6" s="322"/>
      <c r="P6" s="322"/>
      <c r="Q6" s="322"/>
    </row>
    <row r="7" spans="1:17" ht="14.25" thickBot="1" thickTop="1">
      <c r="A7" s="322"/>
      <c r="B7" s="322"/>
      <c r="C7" s="322"/>
      <c r="D7" s="322"/>
      <c r="E7" s="322"/>
      <c r="F7" s="322"/>
      <c r="G7" s="322"/>
      <c r="H7" s="323" t="s">
        <v>338</v>
      </c>
      <c r="I7" s="324"/>
      <c r="J7" s="322"/>
      <c r="K7" s="322"/>
      <c r="L7" s="325" t="s">
        <v>339</v>
      </c>
      <c r="M7" s="322"/>
      <c r="N7" s="322"/>
      <c r="O7" s="322"/>
      <c r="P7" s="322"/>
      <c r="Q7" s="322"/>
    </row>
    <row r="8" spans="1:17" ht="13.5" thickTop="1">
      <c r="A8" s="322"/>
      <c r="B8" s="322"/>
      <c r="C8" s="322"/>
      <c r="D8" s="326" t="s">
        <v>340</v>
      </c>
      <c r="E8" s="324"/>
      <c r="F8" s="324"/>
      <c r="G8" s="322"/>
      <c r="H8" s="322"/>
      <c r="I8" s="322"/>
      <c r="J8" s="322"/>
      <c r="K8" s="322"/>
      <c r="L8" s="327" t="s">
        <v>341</v>
      </c>
      <c r="M8" s="322"/>
      <c r="N8" s="322"/>
      <c r="O8" s="322"/>
      <c r="P8" s="322"/>
      <c r="Q8" s="322"/>
    </row>
    <row r="9" spans="1:17" ht="12.75">
      <c r="A9" s="322"/>
      <c r="B9" s="322"/>
      <c r="C9" s="322"/>
      <c r="D9" s="327" t="s">
        <v>342</v>
      </c>
      <c r="E9" s="324"/>
      <c r="F9" s="324"/>
      <c r="G9" s="322"/>
      <c r="H9" s="322"/>
      <c r="I9" s="322"/>
      <c r="J9" s="322"/>
      <c r="K9" s="322"/>
      <c r="L9" s="327" t="s">
        <v>343</v>
      </c>
      <c r="M9" s="322"/>
      <c r="N9" s="322"/>
      <c r="O9" s="322"/>
      <c r="P9" s="322"/>
      <c r="Q9" s="322"/>
    </row>
    <row r="10" spans="1:17" ht="13.5" thickBot="1">
      <c r="A10" s="322"/>
      <c r="B10" s="322"/>
      <c r="C10" s="322"/>
      <c r="D10" s="328" t="s">
        <v>344</v>
      </c>
      <c r="E10" s="324"/>
      <c r="F10" s="324"/>
      <c r="G10" s="322"/>
      <c r="H10" s="322"/>
      <c r="I10" s="322"/>
      <c r="J10" s="322"/>
      <c r="K10" s="322"/>
      <c r="L10" s="328" t="s">
        <v>345</v>
      </c>
      <c r="M10" s="322"/>
      <c r="N10" s="322"/>
      <c r="O10" s="322"/>
      <c r="P10" s="322"/>
      <c r="Q10" s="322"/>
    </row>
    <row r="11" spans="1:17" ht="13.5" thickTop="1">
      <c r="A11" s="322"/>
      <c r="B11" s="322"/>
      <c r="C11" s="322"/>
      <c r="D11" s="324"/>
      <c r="E11" s="324"/>
      <c r="F11" s="324"/>
      <c r="G11" s="322"/>
      <c r="H11" s="322"/>
      <c r="I11" s="322"/>
      <c r="J11" s="322"/>
      <c r="K11" s="322"/>
      <c r="L11" s="324"/>
      <c r="M11" s="322"/>
      <c r="N11" s="322"/>
      <c r="O11" s="322"/>
      <c r="P11" s="322"/>
      <c r="Q11" s="322"/>
    </row>
    <row r="12" spans="1:17" ht="13.5" thickBot="1">
      <c r="A12" s="322"/>
      <c r="B12" s="322"/>
      <c r="C12" s="322"/>
      <c r="D12" s="322"/>
      <c r="E12" s="322"/>
      <c r="F12" s="322"/>
      <c r="G12" s="322"/>
      <c r="H12" s="322"/>
      <c r="I12" s="322"/>
      <c r="J12" s="322"/>
      <c r="K12" s="322"/>
      <c r="L12" s="322"/>
      <c r="M12" s="322"/>
      <c r="N12" s="322"/>
      <c r="O12" s="322"/>
      <c r="P12" s="322"/>
      <c r="Q12" s="322"/>
    </row>
    <row r="13" spans="1:17" ht="12.75">
      <c r="A13" s="322"/>
      <c r="B13" s="322"/>
      <c r="C13" s="322"/>
      <c r="D13" s="329" t="s">
        <v>346</v>
      </c>
      <c r="E13" s="324"/>
      <c r="F13" s="324"/>
      <c r="G13" s="322"/>
      <c r="H13" s="322"/>
      <c r="I13" s="322"/>
      <c r="J13" s="322"/>
      <c r="K13" s="322"/>
      <c r="L13" s="322"/>
      <c r="M13" s="322"/>
      <c r="N13" s="329" t="s">
        <v>347</v>
      </c>
      <c r="O13" s="322"/>
      <c r="P13" s="322"/>
      <c r="Q13" s="322"/>
    </row>
    <row r="14" spans="1:17" ht="13.5" thickBot="1">
      <c r="A14" s="322"/>
      <c r="B14" s="322"/>
      <c r="C14" s="322"/>
      <c r="D14" s="330" t="s">
        <v>348</v>
      </c>
      <c r="E14" s="324"/>
      <c r="F14" s="324"/>
      <c r="G14" s="322"/>
      <c r="H14" s="322"/>
      <c r="I14" s="322"/>
      <c r="J14" s="322"/>
      <c r="K14" s="322"/>
      <c r="L14" s="322"/>
      <c r="M14" s="322"/>
      <c r="N14" s="330" t="s">
        <v>348</v>
      </c>
      <c r="O14" s="322"/>
      <c r="P14" s="322"/>
      <c r="Q14" s="322"/>
    </row>
    <row r="15" spans="1:17" ht="13.5" thickBot="1">
      <c r="A15" s="322"/>
      <c r="B15" s="322"/>
      <c r="C15" s="322"/>
      <c r="D15" s="322"/>
      <c r="E15" s="322"/>
      <c r="F15" s="322"/>
      <c r="G15" s="322"/>
      <c r="H15" s="322"/>
      <c r="I15" s="322"/>
      <c r="J15" s="322"/>
      <c r="K15" s="322"/>
      <c r="L15" s="322"/>
      <c r="M15" s="322"/>
      <c r="N15" s="322"/>
      <c r="O15" s="322"/>
      <c r="P15" s="322"/>
      <c r="Q15" s="322"/>
    </row>
    <row r="16" spans="1:17" ht="13.5" thickBot="1">
      <c r="A16" s="322"/>
      <c r="B16" s="331" t="s">
        <v>349</v>
      </c>
      <c r="C16" s="322"/>
      <c r="D16" s="331" t="s">
        <v>350</v>
      </c>
      <c r="E16" s="324"/>
      <c r="F16" s="324"/>
      <c r="G16" s="322"/>
      <c r="H16" s="322"/>
      <c r="I16" s="322"/>
      <c r="J16" s="322"/>
      <c r="K16" s="322"/>
      <c r="L16" s="322"/>
      <c r="M16" s="322"/>
      <c r="N16" s="331" t="s">
        <v>350</v>
      </c>
      <c r="O16" s="322"/>
      <c r="P16" s="322"/>
      <c r="Q16" s="322"/>
    </row>
    <row r="17" spans="1:17" ht="13.5" thickBot="1">
      <c r="A17" s="322"/>
      <c r="B17" s="324"/>
      <c r="C17" s="322"/>
      <c r="D17" s="324"/>
      <c r="E17" s="324"/>
      <c r="F17" s="324"/>
      <c r="G17" s="322"/>
      <c r="H17" s="322"/>
      <c r="I17" s="322"/>
      <c r="J17" s="322"/>
      <c r="K17" s="322"/>
      <c r="L17" s="322"/>
      <c r="M17" s="322"/>
      <c r="N17" s="324"/>
      <c r="O17" s="322"/>
      <c r="P17" s="322"/>
      <c r="Q17" s="322"/>
    </row>
    <row r="18" spans="1:17" ht="12.75">
      <c r="A18" s="322"/>
      <c r="B18" s="324"/>
      <c r="C18" s="322"/>
      <c r="D18" s="324"/>
      <c r="E18" s="324"/>
      <c r="F18" s="324"/>
      <c r="G18" s="322"/>
      <c r="H18" s="322"/>
      <c r="I18" s="322"/>
      <c r="J18" s="322"/>
      <c r="K18" s="322"/>
      <c r="L18" s="322"/>
      <c r="M18" s="322"/>
      <c r="N18" s="324"/>
      <c r="O18" s="329" t="s">
        <v>351</v>
      </c>
      <c r="P18" s="322"/>
      <c r="Q18" s="322"/>
    </row>
    <row r="19" spans="1:17" ht="13.5" thickBot="1">
      <c r="A19" s="322"/>
      <c r="B19" s="322"/>
      <c r="C19" s="322"/>
      <c r="D19" s="332"/>
      <c r="E19" s="332"/>
      <c r="F19" s="332"/>
      <c r="G19" s="322"/>
      <c r="H19" s="322"/>
      <c r="I19" s="322"/>
      <c r="J19" s="322"/>
      <c r="K19" s="332"/>
      <c r="L19" s="322"/>
      <c r="M19" s="322"/>
      <c r="N19" s="322"/>
      <c r="O19" s="330" t="s">
        <v>352</v>
      </c>
      <c r="P19" s="322"/>
      <c r="Q19" s="322"/>
    </row>
    <row r="20" spans="1:17" ht="13.5" thickBot="1">
      <c r="A20" s="322"/>
      <c r="B20" s="322"/>
      <c r="C20" s="322"/>
      <c r="D20" s="332"/>
      <c r="E20" s="332"/>
      <c r="F20" s="332"/>
      <c r="G20" s="322"/>
      <c r="H20" s="322"/>
      <c r="I20" s="322"/>
      <c r="J20" s="322"/>
      <c r="K20" s="332"/>
      <c r="L20" s="322"/>
      <c r="M20" s="322"/>
      <c r="N20" s="322"/>
      <c r="O20" s="322"/>
      <c r="P20" s="322"/>
      <c r="Q20" s="322"/>
    </row>
    <row r="21" spans="1:17" ht="12.75">
      <c r="A21" s="329" t="s">
        <v>353</v>
      </c>
      <c r="B21" s="322"/>
      <c r="C21" s="322"/>
      <c r="D21" s="329" t="s">
        <v>353</v>
      </c>
      <c r="E21" s="322"/>
      <c r="F21" s="322"/>
      <c r="G21" s="329" t="s">
        <v>353</v>
      </c>
      <c r="H21" s="324"/>
      <c r="I21" s="322"/>
      <c r="J21" s="322"/>
      <c r="K21" s="329" t="s">
        <v>353</v>
      </c>
      <c r="L21" s="322"/>
      <c r="M21" s="322"/>
      <c r="N21" s="329" t="s">
        <v>353</v>
      </c>
      <c r="O21" s="322"/>
      <c r="P21" s="333" t="s">
        <v>353</v>
      </c>
      <c r="Q21" s="322"/>
    </row>
    <row r="22" spans="1:17" ht="13.5" thickBot="1">
      <c r="A22" s="330" t="s">
        <v>354</v>
      </c>
      <c r="B22" s="322"/>
      <c r="C22" s="322"/>
      <c r="D22" s="330" t="s">
        <v>354</v>
      </c>
      <c r="E22" s="322"/>
      <c r="F22" s="322"/>
      <c r="G22" s="330" t="s">
        <v>354</v>
      </c>
      <c r="H22" s="324"/>
      <c r="I22" s="322"/>
      <c r="J22" s="322"/>
      <c r="K22" s="330" t="s">
        <v>354</v>
      </c>
      <c r="L22" s="322"/>
      <c r="M22" s="322"/>
      <c r="N22" s="330" t="s">
        <v>354</v>
      </c>
      <c r="O22" s="322"/>
      <c r="P22" s="330" t="s">
        <v>354</v>
      </c>
      <c r="Q22" s="322"/>
    </row>
    <row r="23" spans="1:17" ht="13.5" thickBot="1">
      <c r="A23" s="322"/>
      <c r="B23" s="322"/>
      <c r="C23" s="322"/>
      <c r="D23" s="322"/>
      <c r="E23" s="322"/>
      <c r="F23" s="322"/>
      <c r="G23" s="322"/>
      <c r="H23" s="322"/>
      <c r="I23" s="322"/>
      <c r="J23" s="322"/>
      <c r="K23" s="322"/>
      <c r="L23" s="322"/>
      <c r="M23" s="322"/>
      <c r="N23" s="322"/>
      <c r="O23" s="322"/>
      <c r="P23" s="322"/>
      <c r="Q23" s="322"/>
    </row>
    <row r="24" spans="1:17" ht="13.5" thickBot="1">
      <c r="A24" s="322"/>
      <c r="B24" s="331" t="s">
        <v>355</v>
      </c>
      <c r="C24" s="332"/>
      <c r="D24" s="322"/>
      <c r="E24" s="331" t="s">
        <v>356</v>
      </c>
      <c r="F24" s="324"/>
      <c r="G24" s="334"/>
      <c r="H24" s="331" t="s">
        <v>357</v>
      </c>
      <c r="I24" s="322"/>
      <c r="J24" s="322"/>
      <c r="K24" s="322"/>
      <c r="L24" s="324" t="s">
        <v>53</v>
      </c>
      <c r="M24" s="322"/>
      <c r="N24" s="322"/>
      <c r="O24" s="329" t="s">
        <v>358</v>
      </c>
      <c r="P24" s="322"/>
      <c r="Q24" s="331" t="s">
        <v>359</v>
      </c>
    </row>
    <row r="25" spans="1:17" ht="13.5" thickBot="1">
      <c r="A25" s="322"/>
      <c r="B25" s="324" t="s">
        <v>360</v>
      </c>
      <c r="C25" s="332"/>
      <c r="D25" s="322"/>
      <c r="E25" s="322"/>
      <c r="F25" s="322"/>
      <c r="G25" s="334"/>
      <c r="H25" s="324" t="s">
        <v>53</v>
      </c>
      <c r="I25" s="322"/>
      <c r="J25" s="322"/>
      <c r="K25" s="322"/>
      <c r="L25" s="331" t="s">
        <v>361</v>
      </c>
      <c r="M25" s="322"/>
      <c r="N25" s="322"/>
      <c r="O25" s="330" t="s">
        <v>362</v>
      </c>
      <c r="P25" s="322"/>
      <c r="Q25" s="322"/>
    </row>
    <row r="26" spans="1:17" ht="13.5" thickBot="1">
      <c r="A26" s="322"/>
      <c r="B26" s="322"/>
      <c r="C26" s="322"/>
      <c r="D26" s="322"/>
      <c r="E26" s="322"/>
      <c r="F26" s="322"/>
      <c r="G26" s="322"/>
      <c r="H26" s="324"/>
      <c r="I26" s="322"/>
      <c r="J26" s="322"/>
      <c r="K26" s="322"/>
      <c r="L26" s="322"/>
      <c r="M26" s="322"/>
      <c r="N26" s="322"/>
      <c r="O26" s="322"/>
      <c r="P26" s="322"/>
      <c r="Q26" s="322"/>
    </row>
    <row r="27" spans="1:17" ht="13.5" thickBot="1">
      <c r="A27" s="322"/>
      <c r="B27" s="331" t="s">
        <v>363</v>
      </c>
      <c r="C27" s="332"/>
      <c r="D27" s="322"/>
      <c r="E27" s="329" t="s">
        <v>364</v>
      </c>
      <c r="F27" s="324"/>
      <c r="G27" s="322"/>
      <c r="H27" s="324"/>
      <c r="I27" s="322"/>
      <c r="J27" s="322"/>
      <c r="K27" s="322"/>
      <c r="L27" s="324" t="s">
        <v>53</v>
      </c>
      <c r="M27" s="322"/>
      <c r="N27" s="322"/>
      <c r="O27" s="324"/>
      <c r="P27" s="322"/>
      <c r="Q27" s="329" t="s">
        <v>365</v>
      </c>
    </row>
    <row r="28" spans="1:17" ht="13.5" thickBot="1">
      <c r="A28" s="322"/>
      <c r="B28" s="322"/>
      <c r="C28" s="322"/>
      <c r="D28" s="322"/>
      <c r="E28" s="330" t="s">
        <v>366</v>
      </c>
      <c r="F28" s="324"/>
      <c r="G28" s="322"/>
      <c r="H28" s="324"/>
      <c r="I28" s="322"/>
      <c r="J28" s="322"/>
      <c r="K28" s="322"/>
      <c r="L28" s="322"/>
      <c r="M28" s="322"/>
      <c r="N28" s="322"/>
      <c r="O28" s="324"/>
      <c r="P28" s="322"/>
      <c r="Q28" s="330" t="s">
        <v>367</v>
      </c>
    </row>
    <row r="29" spans="1:17" ht="12.75">
      <c r="A29" s="322"/>
      <c r="B29" s="329" t="s">
        <v>368</v>
      </c>
      <c r="C29" s="332"/>
      <c r="D29" s="322"/>
      <c r="E29" s="322"/>
      <c r="F29" s="322"/>
      <c r="G29" s="322"/>
      <c r="H29" s="322"/>
      <c r="I29" s="322"/>
      <c r="J29" s="322"/>
      <c r="K29" s="322"/>
      <c r="L29" s="329" t="s">
        <v>369</v>
      </c>
      <c r="M29" s="322"/>
      <c r="N29" s="322"/>
      <c r="O29" s="334"/>
      <c r="P29" s="322"/>
      <c r="Q29" s="322"/>
    </row>
    <row r="30" spans="1:17" ht="13.5" thickBot="1">
      <c r="A30" s="322"/>
      <c r="B30" s="330" t="s">
        <v>370</v>
      </c>
      <c r="C30" s="322"/>
      <c r="D30" s="322"/>
      <c r="E30" s="322"/>
      <c r="F30" s="322"/>
      <c r="G30" s="322"/>
      <c r="H30" s="322"/>
      <c r="I30" s="322"/>
      <c r="J30" s="322"/>
      <c r="K30" s="322"/>
      <c r="L30" s="330" t="s">
        <v>371</v>
      </c>
      <c r="M30" s="322"/>
      <c r="N30" s="322"/>
      <c r="O30" s="334"/>
      <c r="P30" s="322"/>
      <c r="Q30" s="322"/>
    </row>
    <row r="31" spans="1:17" ht="16.5" customHeight="1">
      <c r="A31" s="322"/>
      <c r="B31" s="324"/>
      <c r="C31" s="332"/>
      <c r="D31" s="322"/>
      <c r="E31" s="324"/>
      <c r="F31" s="324"/>
      <c r="G31" s="322"/>
      <c r="H31" s="335"/>
      <c r="I31" s="322"/>
      <c r="J31" s="322"/>
      <c r="K31" s="322"/>
      <c r="L31" s="324"/>
      <c r="M31" s="322"/>
      <c r="N31" s="322"/>
      <c r="O31" s="324"/>
      <c r="P31" s="322"/>
      <c r="Q31" s="324"/>
    </row>
    <row r="32" spans="1:17" ht="12.75">
      <c r="A32" s="322"/>
      <c r="B32" s="324"/>
      <c r="C32" s="332"/>
      <c r="D32" s="336"/>
      <c r="E32" s="322"/>
      <c r="F32" s="322"/>
      <c r="G32" s="322"/>
      <c r="H32" s="322"/>
      <c r="I32" s="322"/>
      <c r="J32" s="322"/>
      <c r="K32" s="322"/>
      <c r="L32" s="324"/>
      <c r="M32" s="322"/>
      <c r="N32" s="322"/>
      <c r="O32" s="324"/>
      <c r="P32" s="322"/>
      <c r="Q32" s="324"/>
    </row>
    <row r="33" spans="1:17" ht="12.75">
      <c r="A33" s="322"/>
      <c r="B33" s="322"/>
      <c r="C33" s="322"/>
      <c r="D33" s="322"/>
      <c r="E33" s="322"/>
      <c r="F33" s="322"/>
      <c r="G33" s="322"/>
      <c r="H33" s="322"/>
      <c r="I33" s="322"/>
      <c r="J33" s="322"/>
      <c r="K33" s="322"/>
      <c r="L33" s="324" t="s">
        <v>53</v>
      </c>
      <c r="M33" s="322"/>
      <c r="N33" s="322"/>
      <c r="O33" s="334"/>
      <c r="P33" s="322"/>
      <c r="Q33" s="322"/>
    </row>
    <row r="34" spans="1:17" ht="12.75">
      <c r="A34" s="322"/>
      <c r="B34" s="322"/>
      <c r="C34" s="322"/>
      <c r="D34" s="322"/>
      <c r="E34" s="322"/>
      <c r="F34" s="322"/>
      <c r="G34" s="322"/>
      <c r="H34" s="322"/>
      <c r="I34" s="322"/>
      <c r="J34" s="322"/>
      <c r="K34" s="322"/>
      <c r="L34" s="324" t="s">
        <v>53</v>
      </c>
      <c r="M34" s="322"/>
      <c r="N34" s="322"/>
      <c r="O34" s="324"/>
      <c r="P34" s="322"/>
      <c r="Q34" s="322"/>
    </row>
    <row r="35" spans="1:17" ht="12.75">
      <c r="A35" s="322"/>
      <c r="B35" s="322"/>
      <c r="C35" s="322"/>
      <c r="D35" s="322"/>
      <c r="E35" s="322"/>
      <c r="F35" s="322"/>
      <c r="G35" s="322"/>
      <c r="H35" s="322"/>
      <c r="I35" s="322"/>
      <c r="J35" s="322"/>
      <c r="K35" s="322"/>
      <c r="L35" s="322" t="s">
        <v>53</v>
      </c>
      <c r="M35" s="322"/>
      <c r="N35" s="322"/>
      <c r="O35" s="324"/>
      <c r="P35" s="322"/>
      <c r="Q35" s="322"/>
    </row>
    <row r="36" spans="1:17" ht="12.75">
      <c r="A36" s="322"/>
      <c r="B36" s="334" t="s">
        <v>53</v>
      </c>
      <c r="C36" s="322"/>
      <c r="D36" s="322"/>
      <c r="E36" s="322"/>
      <c r="F36" s="322"/>
      <c r="G36" s="322"/>
      <c r="H36" s="322"/>
      <c r="I36" s="322"/>
      <c r="J36" s="322"/>
      <c r="K36" s="322"/>
      <c r="L36" s="322"/>
      <c r="M36" s="322"/>
      <c r="N36" s="322"/>
      <c r="O36" s="322"/>
      <c r="P36" s="322"/>
      <c r="Q36" s="322"/>
    </row>
    <row r="37" spans="1:17" ht="12.75">
      <c r="A37" s="322"/>
      <c r="B37" s="322"/>
      <c r="C37" s="322"/>
      <c r="D37" s="322"/>
      <c r="E37" s="322"/>
      <c r="F37" s="322"/>
      <c r="G37" s="322"/>
      <c r="H37" s="322"/>
      <c r="I37" s="322"/>
      <c r="J37" s="322"/>
      <c r="K37" s="322"/>
      <c r="L37" s="322"/>
      <c r="M37" s="322"/>
      <c r="N37" s="322"/>
      <c r="O37" s="322"/>
      <c r="P37" s="322"/>
      <c r="Q37" s="322"/>
    </row>
    <row r="38" spans="1:17" ht="18.75">
      <c r="A38" s="337" t="s">
        <v>53</v>
      </c>
      <c r="B38" s="338"/>
      <c r="C38" s="338"/>
      <c r="D38" s="338"/>
      <c r="E38" s="338"/>
      <c r="F38" s="338"/>
      <c r="G38" s="338"/>
      <c r="H38" s="322"/>
      <c r="I38" s="322"/>
      <c r="J38" s="322"/>
      <c r="K38" s="322"/>
      <c r="L38" s="322"/>
      <c r="M38" s="322"/>
      <c r="N38" s="322"/>
      <c r="O38" s="322"/>
      <c r="P38" s="322"/>
      <c r="Q38" s="322"/>
    </row>
    <row r="39" spans="1:17" ht="12.75">
      <c r="A39" s="322"/>
      <c r="B39" s="322"/>
      <c r="C39" s="322"/>
      <c r="D39" s="322"/>
      <c r="E39" s="322"/>
      <c r="F39" s="322"/>
      <c r="G39" s="322"/>
      <c r="H39" s="322"/>
      <c r="I39" s="322"/>
      <c r="J39" s="322"/>
      <c r="K39" s="322"/>
      <c r="L39" s="322"/>
      <c r="M39" s="322"/>
      <c r="N39" s="322"/>
      <c r="O39" s="322"/>
      <c r="P39" s="322"/>
      <c r="Q39" s="322"/>
    </row>
    <row r="40" spans="1:17" ht="12.75">
      <c r="A40" s="322"/>
      <c r="B40" s="322"/>
      <c r="C40" s="322"/>
      <c r="D40" s="322"/>
      <c r="E40" s="322"/>
      <c r="F40" s="322"/>
      <c r="G40" s="322"/>
      <c r="H40" s="322"/>
      <c r="I40" s="322"/>
      <c r="J40" s="322"/>
      <c r="K40" s="322"/>
      <c r="L40" s="322"/>
      <c r="M40" s="322"/>
      <c r="N40" s="322"/>
      <c r="O40" s="322"/>
      <c r="P40" s="322"/>
      <c r="Q40" s="322"/>
    </row>
    <row r="41" spans="1:17" ht="13.5" thickBot="1">
      <c r="A41" s="322"/>
      <c r="B41" s="322"/>
      <c r="C41" s="322"/>
      <c r="D41" s="322"/>
      <c r="E41" s="322"/>
      <c r="F41" s="322"/>
      <c r="G41" s="322"/>
      <c r="H41" s="322"/>
      <c r="I41" s="322"/>
      <c r="J41" s="322"/>
      <c r="K41" s="322"/>
      <c r="L41" s="322"/>
      <c r="M41" s="322"/>
      <c r="N41" s="322"/>
      <c r="O41" s="322"/>
      <c r="P41" s="322"/>
      <c r="Q41" s="322"/>
    </row>
    <row r="42" spans="1:17" ht="13.5" thickBot="1">
      <c r="A42" s="322"/>
      <c r="B42" s="322"/>
      <c r="C42" s="516" t="s">
        <v>372</v>
      </c>
      <c r="D42" s="517"/>
      <c r="E42" s="322"/>
      <c r="F42" s="322"/>
      <c r="G42" s="322"/>
      <c r="H42" s="322"/>
      <c r="I42" s="322"/>
      <c r="J42" s="322"/>
      <c r="K42" s="322"/>
      <c r="L42" s="322"/>
      <c r="M42" s="322"/>
      <c r="N42" s="331" t="s">
        <v>372</v>
      </c>
      <c r="O42" s="322"/>
      <c r="P42" s="322"/>
      <c r="Q42" s="322"/>
    </row>
    <row r="43" spans="1:17" ht="12.75">
      <c r="A43" s="322"/>
      <c r="B43" s="322"/>
      <c r="C43" s="322"/>
      <c r="D43" s="339"/>
      <c r="E43" s="322"/>
      <c r="F43" s="322"/>
      <c r="G43" s="322"/>
      <c r="H43" s="322"/>
      <c r="I43" s="322"/>
      <c r="J43" s="322"/>
      <c r="K43" s="322"/>
      <c r="L43" s="322"/>
      <c r="M43" s="322"/>
      <c r="N43" s="324" t="s">
        <v>53</v>
      </c>
      <c r="O43" s="322"/>
      <c r="P43" s="322"/>
      <c r="Q43" s="322"/>
    </row>
    <row r="44" spans="1:17" ht="12.75">
      <c r="A44" s="513" t="s">
        <v>373</v>
      </c>
      <c r="B44" s="514"/>
      <c r="C44" s="514"/>
      <c r="D44" s="514"/>
      <c r="E44" s="322"/>
      <c r="F44" s="322"/>
      <c r="G44" s="322"/>
      <c r="H44" s="322"/>
      <c r="I44" s="322"/>
      <c r="J44" s="322"/>
      <c r="K44" s="334"/>
      <c r="L44" s="334"/>
      <c r="M44" s="322"/>
      <c r="N44" s="322"/>
      <c r="O44" s="322"/>
      <c r="P44" s="322"/>
      <c r="Q44" s="322"/>
    </row>
    <row r="45" spans="1:17" ht="12.75">
      <c r="A45" s="513" t="s">
        <v>374</v>
      </c>
      <c r="B45" s="514"/>
      <c r="C45" s="514"/>
      <c r="D45" s="514"/>
      <c r="E45" s="322"/>
      <c r="F45" s="322"/>
      <c r="G45" s="322"/>
      <c r="H45" s="322"/>
      <c r="I45" s="322"/>
      <c r="J45" s="322"/>
      <c r="K45" s="334"/>
      <c r="L45" s="334"/>
      <c r="M45" s="322"/>
      <c r="N45" s="324" t="s">
        <v>53</v>
      </c>
      <c r="O45" s="322"/>
      <c r="P45" s="322"/>
      <c r="Q45" s="322"/>
    </row>
    <row r="46" spans="1:17" ht="12.75">
      <c r="A46" s="513" t="s">
        <v>375</v>
      </c>
      <c r="B46" s="514"/>
      <c r="C46" s="514"/>
      <c r="D46" s="514"/>
      <c r="E46" s="322"/>
      <c r="F46" s="322"/>
      <c r="G46" s="322"/>
      <c r="H46" s="322"/>
      <c r="I46" s="322"/>
      <c r="J46" s="322"/>
      <c r="K46" s="322"/>
      <c r="L46" s="322"/>
      <c r="M46" s="322"/>
      <c r="N46" s="322"/>
      <c r="O46" s="322"/>
      <c r="P46" s="322"/>
      <c r="Q46" s="322"/>
    </row>
    <row r="47" spans="1:17" ht="12.75">
      <c r="A47" s="322"/>
      <c r="B47" s="322"/>
      <c r="C47" s="322"/>
      <c r="D47" s="322"/>
      <c r="E47" s="322"/>
      <c r="F47" s="322"/>
      <c r="G47" s="322"/>
      <c r="H47" s="322"/>
      <c r="I47" s="322"/>
      <c r="J47" s="322"/>
      <c r="K47" s="322"/>
      <c r="L47" s="322"/>
      <c r="M47" s="322"/>
      <c r="N47" s="322"/>
      <c r="O47" s="322"/>
      <c r="P47" s="322"/>
      <c r="Q47" s="322"/>
    </row>
    <row r="48" spans="1:17" ht="12.75">
      <c r="A48" s="322"/>
      <c r="B48" s="322"/>
      <c r="C48" s="322"/>
      <c r="D48" s="322"/>
      <c r="E48" s="322"/>
      <c r="F48" s="322"/>
      <c r="G48" s="322"/>
      <c r="H48" s="322"/>
      <c r="I48" s="322"/>
      <c r="J48" s="322"/>
      <c r="K48" s="322"/>
      <c r="L48" s="322"/>
      <c r="M48" s="322"/>
      <c r="N48" s="334"/>
      <c r="O48" s="322"/>
      <c r="P48" s="322"/>
      <c r="Q48" s="322"/>
    </row>
  </sheetData>
  <mergeCells count="5">
    <mergeCell ref="A46:D46"/>
    <mergeCell ref="A1:P1"/>
    <mergeCell ref="C42:D42"/>
    <mergeCell ref="A44:D44"/>
    <mergeCell ref="A45:D45"/>
  </mergeCells>
  <printOptions/>
  <pageMargins left="0.7480314960629921" right="0.7480314960629921" top="0.984251968503937" bottom="0.984251968503937" header="0.5118110236220472" footer="0.5118110236220472"/>
  <pageSetup horizontalDpi="300" verticalDpi="300" orientation="landscape" paperSize="9" scale="70"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2:F13"/>
  <sheetViews>
    <sheetView showGridLines="0" workbookViewId="0" topLeftCell="A10">
      <selection activeCell="A7" sqref="A7:F7"/>
    </sheetView>
  </sheetViews>
  <sheetFormatPr defaultColWidth="9.00390625" defaultRowHeight="12.75"/>
  <cols>
    <col min="1" max="4" width="9.125" style="14" customWidth="1"/>
    <col min="5" max="5" width="14.125" style="14" customWidth="1"/>
    <col min="6" max="6" width="33.875" style="14" customWidth="1"/>
    <col min="7" max="16384" width="9.125" style="14" customWidth="1"/>
  </cols>
  <sheetData>
    <row r="2" spans="1:6" ht="20.25" customHeight="1">
      <c r="A2" s="485" t="s">
        <v>428</v>
      </c>
      <c r="B2" s="482"/>
      <c r="C2" s="482"/>
      <c r="D2" s="482"/>
      <c r="E2" s="482"/>
      <c r="F2" s="482"/>
    </row>
    <row r="3" spans="1:6" ht="13.5" customHeight="1">
      <c r="A3" s="299"/>
      <c r="B3" s="313"/>
      <c r="C3" s="313"/>
      <c r="D3" s="313"/>
      <c r="E3" s="313"/>
      <c r="F3" s="313"/>
    </row>
    <row r="4" spans="1:6" ht="18.75" customHeight="1" thickBot="1">
      <c r="A4" s="481" t="s">
        <v>328</v>
      </c>
      <c r="B4" s="481"/>
      <c r="C4" s="481"/>
      <c r="D4" s="481"/>
      <c r="E4" s="481"/>
      <c r="F4" s="481"/>
    </row>
    <row r="5" spans="1:6" ht="60" customHeight="1" thickTop="1">
      <c r="A5" s="315" t="s">
        <v>326</v>
      </c>
      <c r="B5" s="316"/>
      <c r="C5" s="316"/>
      <c r="D5" s="316"/>
      <c r="E5" s="316"/>
      <c r="F5" s="317"/>
    </row>
    <row r="6" spans="1:6" ht="60" customHeight="1">
      <c r="A6" s="488" t="s">
        <v>329</v>
      </c>
      <c r="B6" s="489"/>
      <c r="C6" s="489"/>
      <c r="D6" s="489"/>
      <c r="E6" s="489"/>
      <c r="F6" s="486"/>
    </row>
    <row r="7" spans="1:6" ht="60" customHeight="1">
      <c r="A7" s="488" t="s">
        <v>689</v>
      </c>
      <c r="B7" s="489"/>
      <c r="C7" s="489"/>
      <c r="D7" s="489"/>
      <c r="E7" s="489"/>
      <c r="F7" s="486"/>
    </row>
    <row r="8" spans="1:6" ht="53.25" customHeight="1">
      <c r="A8" s="488" t="s">
        <v>330</v>
      </c>
      <c r="B8" s="489"/>
      <c r="C8" s="489"/>
      <c r="D8" s="489"/>
      <c r="E8" s="489"/>
      <c r="F8" s="486"/>
    </row>
    <row r="9" spans="1:6" ht="60" customHeight="1">
      <c r="A9" s="318" t="s">
        <v>327</v>
      </c>
      <c r="B9" s="314"/>
      <c r="C9" s="314"/>
      <c r="D9" s="314"/>
      <c r="E9" s="314"/>
      <c r="F9" s="319"/>
    </row>
    <row r="10" spans="1:6" ht="60" customHeight="1">
      <c r="A10" s="488" t="s">
        <v>331</v>
      </c>
      <c r="B10" s="489"/>
      <c r="C10" s="489"/>
      <c r="D10" s="489"/>
      <c r="E10" s="489"/>
      <c r="F10" s="486"/>
    </row>
    <row r="11" spans="1:6" ht="60" customHeight="1">
      <c r="A11" s="487" t="s">
        <v>332</v>
      </c>
      <c r="B11" s="483"/>
      <c r="C11" s="483"/>
      <c r="D11" s="483"/>
      <c r="E11" s="483"/>
      <c r="F11" s="484"/>
    </row>
    <row r="12" spans="1:6" ht="60" customHeight="1">
      <c r="A12" s="488" t="s">
        <v>333</v>
      </c>
      <c r="B12" s="489"/>
      <c r="C12" s="489"/>
      <c r="D12" s="489"/>
      <c r="E12" s="489"/>
      <c r="F12" s="486"/>
    </row>
    <row r="13" spans="1:6" ht="60" customHeight="1" thickBot="1">
      <c r="A13" s="518" t="s">
        <v>334</v>
      </c>
      <c r="B13" s="519"/>
      <c r="C13" s="519"/>
      <c r="D13" s="519"/>
      <c r="E13" s="519"/>
      <c r="F13" s="490"/>
    </row>
    <row r="14" ht="16.5" thickTop="1"/>
  </sheetData>
  <mergeCells count="9">
    <mergeCell ref="A2:F2"/>
    <mergeCell ref="A4:F4"/>
    <mergeCell ref="A6:F6"/>
    <mergeCell ref="A7:F7"/>
    <mergeCell ref="A13:F13"/>
    <mergeCell ref="A8:F8"/>
    <mergeCell ref="A10:F10"/>
    <mergeCell ref="A11:F11"/>
    <mergeCell ref="A12:F12"/>
  </mergeCells>
  <printOptions/>
  <pageMargins left="0.75" right="0.75" top="1" bottom="1" header="0.5" footer="0.5"/>
  <pageSetup horizontalDpi="300" verticalDpi="300" orientation="portrait" paperSize="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tabColor indexed="12"/>
  </sheetPr>
  <dimension ref="A1:G33"/>
  <sheetViews>
    <sheetView showGridLines="0" workbookViewId="0" topLeftCell="A34">
      <selection activeCell="G36" sqref="G36"/>
    </sheetView>
  </sheetViews>
  <sheetFormatPr defaultColWidth="9.00390625" defaultRowHeight="12.75"/>
  <cols>
    <col min="1" max="1" width="22.75390625" style="1" customWidth="1"/>
    <col min="2" max="2" width="15.75390625" style="1" customWidth="1"/>
    <col min="3" max="3" width="13.875" style="1" customWidth="1"/>
    <col min="4" max="4" width="15.75390625" style="1" customWidth="1"/>
    <col min="5" max="5" width="14.625" style="1" customWidth="1"/>
    <col min="6" max="16384" width="9.125" style="1" customWidth="1"/>
  </cols>
  <sheetData>
    <row r="1" spans="1:5" ht="18.75">
      <c r="A1" s="529" t="s">
        <v>429</v>
      </c>
      <c r="B1" s="482"/>
      <c r="C1" s="482"/>
      <c r="D1" s="482"/>
      <c r="E1" s="482"/>
    </row>
    <row r="2" spans="1:5" ht="15.75">
      <c r="A2" s="530" t="s">
        <v>690</v>
      </c>
      <c r="B2" s="530"/>
      <c r="C2" s="530"/>
      <c r="D2" s="530"/>
      <c r="E2" s="530"/>
    </row>
    <row r="3" spans="1:5" ht="16.5" thickBot="1">
      <c r="A3" s="531" t="s">
        <v>30</v>
      </c>
      <c r="B3" s="531"/>
      <c r="C3" s="531"/>
      <c r="D3" s="531"/>
      <c r="E3" s="531"/>
    </row>
    <row r="4" spans="1:5" ht="20.25" customHeight="1" thickTop="1">
      <c r="A4" s="112"/>
      <c r="B4" s="526" t="s">
        <v>24</v>
      </c>
      <c r="C4" s="527"/>
      <c r="D4" s="526" t="s">
        <v>25</v>
      </c>
      <c r="E4" s="528"/>
    </row>
    <row r="5" spans="1:5" ht="15.75" customHeight="1">
      <c r="A5" s="369" t="s">
        <v>26</v>
      </c>
      <c r="B5" s="480">
        <f>18615+5688</f>
        <v>24303</v>
      </c>
      <c r="C5" s="479"/>
      <c r="D5" s="532">
        <f>14125+3799</f>
        <v>17924</v>
      </c>
      <c r="E5" s="533"/>
    </row>
    <row r="6" spans="1:5" ht="15.75" customHeight="1">
      <c r="A6" s="369" t="s">
        <v>27</v>
      </c>
      <c r="B6" s="480">
        <f>140+433</f>
        <v>573</v>
      </c>
      <c r="C6" s="479"/>
      <c r="D6" s="532">
        <f>256+43</f>
        <v>299</v>
      </c>
      <c r="E6" s="533"/>
    </row>
    <row r="7" spans="1:7" ht="15.75" customHeight="1">
      <c r="A7" s="369" t="s">
        <v>28</v>
      </c>
      <c r="B7" s="480">
        <f>51+28</f>
        <v>79</v>
      </c>
      <c r="C7" s="479"/>
      <c r="D7" s="532">
        <v>3</v>
      </c>
      <c r="E7" s="533"/>
      <c r="G7" s="1" t="s">
        <v>53</v>
      </c>
    </row>
    <row r="8" spans="1:7" ht="21.75" customHeight="1" thickBot="1">
      <c r="A8" s="121" t="s">
        <v>29</v>
      </c>
      <c r="B8" s="521">
        <f>+B7+B6+B5</f>
        <v>24955</v>
      </c>
      <c r="C8" s="522"/>
      <c r="D8" s="534">
        <f>+D7+D6+D5</f>
        <v>18226</v>
      </c>
      <c r="E8" s="535"/>
      <c r="G8" s="1" t="s">
        <v>53</v>
      </c>
    </row>
    <row r="9" ht="13.5" thickTop="1"/>
    <row r="23" ht="19.5" customHeight="1"/>
    <row r="24" spans="1:5" ht="30" customHeight="1">
      <c r="A24" s="530" t="s">
        <v>35</v>
      </c>
      <c r="B24" s="530"/>
      <c r="C24" s="530"/>
      <c r="D24" s="530"/>
      <c r="E24" s="530"/>
    </row>
    <row r="25" spans="1:5" ht="14.25">
      <c r="A25" s="524" t="s">
        <v>690</v>
      </c>
      <c r="B25" s="524"/>
      <c r="C25" s="524"/>
      <c r="D25" s="524"/>
      <c r="E25" s="524"/>
    </row>
    <row r="26" spans="1:5" ht="15" thickBot="1">
      <c r="A26" s="525" t="s">
        <v>31</v>
      </c>
      <c r="B26" s="525"/>
      <c r="C26" s="525"/>
      <c r="D26" s="525"/>
      <c r="E26" s="525"/>
    </row>
    <row r="27" spans="1:5" ht="20.25" customHeight="1" thickTop="1">
      <c r="A27" s="112"/>
      <c r="B27" s="526" t="s">
        <v>24</v>
      </c>
      <c r="C27" s="527"/>
      <c r="D27" s="526" t="s">
        <v>25</v>
      </c>
      <c r="E27" s="528"/>
    </row>
    <row r="28" spans="1:5" ht="18.75" customHeight="1">
      <c r="A28" s="369" t="s">
        <v>32</v>
      </c>
      <c r="B28" s="480">
        <v>1515</v>
      </c>
      <c r="C28" s="479"/>
      <c r="D28" s="480">
        <v>885</v>
      </c>
      <c r="E28" s="520"/>
    </row>
    <row r="29" spans="1:5" ht="31.5" customHeight="1">
      <c r="A29" s="369" t="s">
        <v>33</v>
      </c>
      <c r="B29" s="480">
        <v>1997</v>
      </c>
      <c r="C29" s="479"/>
      <c r="D29" s="480">
        <v>1506</v>
      </c>
      <c r="E29" s="520"/>
    </row>
    <row r="30" spans="1:5" ht="15.75" customHeight="1">
      <c r="A30" s="369" t="s">
        <v>34</v>
      </c>
      <c r="B30" s="480">
        <v>1518</v>
      </c>
      <c r="C30" s="479"/>
      <c r="D30" s="480">
        <v>681</v>
      </c>
      <c r="E30" s="520"/>
    </row>
    <row r="31" spans="1:5" ht="15.75" customHeight="1">
      <c r="A31" s="369" t="s">
        <v>27</v>
      </c>
      <c r="B31" s="480">
        <f>99+20</f>
        <v>119</v>
      </c>
      <c r="C31" s="479"/>
      <c r="D31" s="480">
        <f>32+7</f>
        <v>39</v>
      </c>
      <c r="E31" s="520"/>
    </row>
    <row r="32" spans="1:7" ht="18.75" customHeight="1">
      <c r="A32" s="369" t="s">
        <v>28</v>
      </c>
      <c r="B32" s="480">
        <v>51</v>
      </c>
      <c r="C32" s="479"/>
      <c r="D32" s="480">
        <v>0</v>
      </c>
      <c r="E32" s="520"/>
      <c r="F32" s="1" t="s">
        <v>53</v>
      </c>
      <c r="G32" s="1" t="s">
        <v>53</v>
      </c>
    </row>
    <row r="33" spans="1:5" ht="24.75" customHeight="1" thickBot="1">
      <c r="A33" s="121" t="s">
        <v>29</v>
      </c>
      <c r="B33" s="521">
        <f>+B32+B31+B30+B29+B28</f>
        <v>5200</v>
      </c>
      <c r="C33" s="522"/>
      <c r="D33" s="521">
        <f>+D32+D31+D30+D29+D28</f>
        <v>3111</v>
      </c>
      <c r="E33" s="523"/>
    </row>
    <row r="34" ht="13.5" thickTop="1"/>
    <row r="49" ht="18.75" customHeight="1"/>
  </sheetData>
  <mergeCells count="30">
    <mergeCell ref="B4:C4"/>
    <mergeCell ref="D4:E4"/>
    <mergeCell ref="B5:C5"/>
    <mergeCell ref="B6:C6"/>
    <mergeCell ref="A1:E1"/>
    <mergeCell ref="A2:E2"/>
    <mergeCell ref="A3:E3"/>
    <mergeCell ref="A24:E24"/>
    <mergeCell ref="B7:C7"/>
    <mergeCell ref="B8:C8"/>
    <mergeCell ref="D5:E5"/>
    <mergeCell ref="D6:E6"/>
    <mergeCell ref="D7:E7"/>
    <mergeCell ref="D8:E8"/>
    <mergeCell ref="B28:C28"/>
    <mergeCell ref="D28:E28"/>
    <mergeCell ref="A25:E25"/>
    <mergeCell ref="A26:E26"/>
    <mergeCell ref="B27:C27"/>
    <mergeCell ref="D27:E27"/>
    <mergeCell ref="B32:C32"/>
    <mergeCell ref="D32:E32"/>
    <mergeCell ref="B33:C33"/>
    <mergeCell ref="D33:E33"/>
    <mergeCell ref="B29:C29"/>
    <mergeCell ref="B30:C30"/>
    <mergeCell ref="B31:C31"/>
    <mergeCell ref="D29:E29"/>
    <mergeCell ref="D30:E30"/>
    <mergeCell ref="D31:E31"/>
  </mergeCells>
  <printOptions/>
  <pageMargins left="0.75" right="0.75" top="1" bottom="1" header="0.5" footer="0.5"/>
  <pageSetup horizontalDpi="300" verticalDpi="3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sheetPr>
    <tabColor indexed="12"/>
  </sheetPr>
  <dimension ref="A1:E9"/>
  <sheetViews>
    <sheetView showGridLines="0" workbookViewId="0" topLeftCell="A31">
      <selection activeCell="C7" sqref="C7"/>
    </sheetView>
  </sheetViews>
  <sheetFormatPr defaultColWidth="9.00390625" defaultRowHeight="12.75"/>
  <cols>
    <col min="1" max="1" width="20.75390625" style="1" customWidth="1"/>
    <col min="2" max="5" width="15.75390625" style="1" customWidth="1"/>
    <col min="6" max="16384" width="9.125" style="1" customWidth="1"/>
  </cols>
  <sheetData>
    <row r="1" spans="1:5" ht="37.5" customHeight="1">
      <c r="A1" s="538" t="s">
        <v>430</v>
      </c>
      <c r="B1" s="538"/>
      <c r="C1" s="538"/>
      <c r="D1" s="538"/>
      <c r="E1" s="538"/>
    </row>
    <row r="2" spans="1:5" ht="15.75">
      <c r="A2" s="530" t="s">
        <v>690</v>
      </c>
      <c r="B2" s="530"/>
      <c r="C2" s="530"/>
      <c r="D2" s="530"/>
      <c r="E2" s="530"/>
    </row>
    <row r="3" spans="1:5" ht="16.5" thickBot="1">
      <c r="A3" s="531" t="s">
        <v>36</v>
      </c>
      <c r="B3" s="531"/>
      <c r="C3" s="531"/>
      <c r="D3" s="531"/>
      <c r="E3" s="531"/>
    </row>
    <row r="4" spans="1:5" ht="16.5" thickTop="1">
      <c r="A4" s="115"/>
      <c r="B4" s="536" t="s">
        <v>37</v>
      </c>
      <c r="C4" s="536"/>
      <c r="D4" s="536" t="s">
        <v>38</v>
      </c>
      <c r="E4" s="537"/>
    </row>
    <row r="5" spans="1:5" ht="20.25" customHeight="1">
      <c r="A5" s="116"/>
      <c r="B5" s="117" t="s">
        <v>24</v>
      </c>
      <c r="C5" s="117" t="s">
        <v>25</v>
      </c>
      <c r="D5" s="117" t="s">
        <v>24</v>
      </c>
      <c r="E5" s="118" t="s">
        <v>25</v>
      </c>
    </row>
    <row r="6" spans="1:5" ht="15.75" customHeight="1">
      <c r="A6" s="369" t="s">
        <v>26</v>
      </c>
      <c r="B6" s="119">
        <v>15103</v>
      </c>
      <c r="C6" s="119">
        <v>11734</v>
      </c>
      <c r="D6" s="119">
        <v>4170</v>
      </c>
      <c r="E6" s="120">
        <v>3118</v>
      </c>
    </row>
    <row r="7" spans="1:5" ht="15.75" customHeight="1">
      <c r="A7" s="369" t="s">
        <v>27</v>
      </c>
      <c r="B7" s="119">
        <v>334</v>
      </c>
      <c r="C7" s="119">
        <v>224</v>
      </c>
      <c r="D7" s="119">
        <v>120</v>
      </c>
      <c r="E7" s="120">
        <v>36</v>
      </c>
    </row>
    <row r="8" spans="1:5" ht="15.75" customHeight="1">
      <c r="A8" s="369" t="s">
        <v>28</v>
      </c>
      <c r="B8" s="119">
        <v>0</v>
      </c>
      <c r="C8" s="119">
        <v>0</v>
      </c>
      <c r="D8" s="119">
        <v>0</v>
      </c>
      <c r="E8" s="120">
        <v>0</v>
      </c>
    </row>
    <row r="9" spans="1:5" ht="24.75" customHeight="1" thickBot="1">
      <c r="A9" s="121" t="s">
        <v>29</v>
      </c>
      <c r="B9" s="122">
        <f>+B8+B7+B6</f>
        <v>15437</v>
      </c>
      <c r="C9" s="122">
        <f>+C8+C7+C6</f>
        <v>11958</v>
      </c>
      <c r="D9" s="122">
        <f>+D8+D7+D6</f>
        <v>4290</v>
      </c>
      <c r="E9" s="123">
        <f>+E8+E7+E6</f>
        <v>3154</v>
      </c>
    </row>
    <row r="10" ht="13.5" thickTop="1"/>
  </sheetData>
  <mergeCells count="5">
    <mergeCell ref="B4:C4"/>
    <mergeCell ref="D4:E4"/>
    <mergeCell ref="A1:E1"/>
    <mergeCell ref="A2:E2"/>
    <mergeCell ref="A3:E3"/>
  </mergeCells>
  <printOptions/>
  <pageMargins left="0.75" right="0.75" top="1" bottom="1" header="0.5" footer="0.5"/>
  <pageSetup horizontalDpi="300" verticalDpi="300" orientation="portrait" paperSize="9" r:id="rId2"/>
  <headerFooter alignWithMargins="0">
    <oddFooter>&amp;C&amp;"Arial Tur,Kalın" 4</oddFooter>
  </headerFooter>
  <drawing r:id="rId1"/>
</worksheet>
</file>

<file path=xl/worksheets/sheet7.xml><?xml version="1.0" encoding="utf-8"?>
<worksheet xmlns="http://schemas.openxmlformats.org/spreadsheetml/2006/main" xmlns:r="http://schemas.openxmlformats.org/officeDocument/2006/relationships">
  <sheetPr>
    <tabColor indexed="12"/>
  </sheetPr>
  <dimension ref="A1:E9"/>
  <sheetViews>
    <sheetView showGridLines="0" workbookViewId="0" topLeftCell="A28">
      <selection activeCell="F14" sqref="F14"/>
    </sheetView>
  </sheetViews>
  <sheetFormatPr defaultColWidth="9.00390625" defaultRowHeight="12.75"/>
  <cols>
    <col min="1" max="1" width="20.75390625" style="1" customWidth="1"/>
    <col min="2" max="5" width="15.75390625" style="1" customWidth="1"/>
    <col min="6" max="16384" width="9.125" style="1" customWidth="1"/>
  </cols>
  <sheetData>
    <row r="1" spans="1:5" ht="52.5" customHeight="1">
      <c r="A1" s="538" t="s">
        <v>431</v>
      </c>
      <c r="B1" s="541"/>
      <c r="C1" s="541"/>
      <c r="D1" s="541"/>
      <c r="E1" s="541"/>
    </row>
    <row r="2" spans="1:5" ht="15.75">
      <c r="A2" s="530" t="s">
        <v>690</v>
      </c>
      <c r="B2" s="530"/>
      <c r="C2" s="530"/>
      <c r="D2" s="530"/>
      <c r="E2" s="530"/>
    </row>
    <row r="3" spans="1:5" ht="16.5" thickBot="1">
      <c r="A3" s="531" t="s">
        <v>39</v>
      </c>
      <c r="B3" s="531"/>
      <c r="C3" s="531"/>
      <c r="D3" s="531"/>
      <c r="E3" s="531"/>
    </row>
    <row r="4" spans="1:5" ht="26.25" customHeight="1" thickTop="1">
      <c r="A4" s="112"/>
      <c r="B4" s="526" t="s">
        <v>24</v>
      </c>
      <c r="C4" s="527"/>
      <c r="D4" s="526" t="s">
        <v>25</v>
      </c>
      <c r="E4" s="528"/>
    </row>
    <row r="5" spans="1:5" ht="26.25" customHeight="1">
      <c r="A5" s="370" t="s">
        <v>27</v>
      </c>
      <c r="B5" s="480">
        <v>0</v>
      </c>
      <c r="C5" s="479"/>
      <c r="D5" s="480">
        <v>0</v>
      </c>
      <c r="E5" s="520"/>
    </row>
    <row r="6" spans="1:5" ht="21.75" customHeight="1">
      <c r="A6" s="369" t="s">
        <v>28</v>
      </c>
      <c r="B6" s="480">
        <v>28</v>
      </c>
      <c r="C6" s="479"/>
      <c r="D6" s="480">
        <v>3</v>
      </c>
      <c r="E6" s="520"/>
    </row>
    <row r="7" spans="1:5" ht="34.5" customHeight="1" thickBot="1">
      <c r="A7" s="121" t="s">
        <v>29</v>
      </c>
      <c r="B7" s="521">
        <f>+B6</f>
        <v>28</v>
      </c>
      <c r="C7" s="522"/>
      <c r="D7" s="521">
        <f>+D6</f>
        <v>3</v>
      </c>
      <c r="E7" s="523"/>
    </row>
    <row r="8" ht="13.5" thickTop="1"/>
    <row r="9" spans="1:5" ht="49.5" customHeight="1">
      <c r="A9" s="539" t="s">
        <v>453</v>
      </c>
      <c r="B9" s="540"/>
      <c r="C9" s="540"/>
      <c r="D9" s="540"/>
      <c r="E9" s="540"/>
    </row>
  </sheetData>
  <mergeCells count="12">
    <mergeCell ref="B5:C5"/>
    <mergeCell ref="D5:E5"/>
    <mergeCell ref="A1:E1"/>
    <mergeCell ref="A2:E2"/>
    <mergeCell ref="A3:E3"/>
    <mergeCell ref="B4:C4"/>
    <mergeCell ref="D4:E4"/>
    <mergeCell ref="A9:E9"/>
    <mergeCell ref="B6:C6"/>
    <mergeCell ref="D6:E6"/>
    <mergeCell ref="B7:C7"/>
    <mergeCell ref="D7:E7"/>
  </mergeCells>
  <printOptions/>
  <pageMargins left="0.75" right="0.75" top="1" bottom="1" header="0.5" footer="0.5"/>
  <pageSetup horizontalDpi="300" verticalDpi="300" orientation="portrait" paperSize="9" r:id="rId2"/>
  <headerFooter alignWithMargins="0">
    <oddFooter>&amp;C5</oddFooter>
  </headerFooter>
  <drawing r:id="rId1"/>
</worksheet>
</file>

<file path=xl/worksheets/sheet8.xml><?xml version="1.0" encoding="utf-8"?>
<worksheet xmlns="http://schemas.openxmlformats.org/spreadsheetml/2006/main" xmlns:r="http://schemas.openxmlformats.org/officeDocument/2006/relationships">
  <sheetPr>
    <tabColor indexed="12"/>
  </sheetPr>
  <dimension ref="A1:E25"/>
  <sheetViews>
    <sheetView showGridLines="0" workbookViewId="0" topLeftCell="A19">
      <selection activeCell="G6" sqref="G6"/>
    </sheetView>
  </sheetViews>
  <sheetFormatPr defaultColWidth="9.00390625" defaultRowHeight="12.75"/>
  <cols>
    <col min="1" max="1" width="23.875" style="1" customWidth="1"/>
    <col min="2" max="2" width="17.625" style="1" customWidth="1"/>
    <col min="3" max="3" width="11.875" style="1" customWidth="1"/>
    <col min="4" max="4" width="17.875" style="1" customWidth="1"/>
    <col min="5" max="5" width="12.125" style="1" customWidth="1"/>
    <col min="6" max="16384" width="9.125" style="1" customWidth="1"/>
  </cols>
  <sheetData>
    <row r="1" spans="1:5" ht="15.75">
      <c r="A1" s="538" t="s">
        <v>432</v>
      </c>
      <c r="B1" s="541"/>
      <c r="C1" s="541"/>
      <c r="D1" s="541"/>
      <c r="E1" s="541"/>
    </row>
    <row r="2" spans="1:5" ht="28.5" customHeight="1" thickBot="1">
      <c r="A2" s="544" t="s">
        <v>76</v>
      </c>
      <c r="B2" s="545"/>
      <c r="C2" s="545"/>
      <c r="D2" s="545"/>
      <c r="E2" s="545"/>
    </row>
    <row r="3" spans="1:5" ht="22.5" customHeight="1" thickTop="1">
      <c r="A3" s="124">
        <v>2001</v>
      </c>
      <c r="B3" s="549" t="s">
        <v>45</v>
      </c>
      <c r="C3" s="549"/>
      <c r="D3" s="549"/>
      <c r="E3" s="550"/>
    </row>
    <row r="4" spans="1:5" ht="22.5" customHeight="1">
      <c r="A4" s="125">
        <v>2002</v>
      </c>
      <c r="B4" s="551" t="s">
        <v>47</v>
      </c>
      <c r="C4" s="551"/>
      <c r="D4" s="551"/>
      <c r="E4" s="552"/>
    </row>
    <row r="5" spans="1:5" ht="22.5" customHeight="1">
      <c r="A5" s="125">
        <v>2003</v>
      </c>
      <c r="B5" s="551" t="s">
        <v>46</v>
      </c>
      <c r="C5" s="551"/>
      <c r="D5" s="551"/>
      <c r="E5" s="552"/>
    </row>
    <row r="6" spans="1:5" ht="22.5" customHeight="1">
      <c r="A6" s="125">
        <v>2004</v>
      </c>
      <c r="B6" s="551" t="s">
        <v>48</v>
      </c>
      <c r="C6" s="551"/>
      <c r="D6" s="551"/>
      <c r="E6" s="552"/>
    </row>
    <row r="7" spans="1:5" ht="22.5" customHeight="1">
      <c r="A7" s="125">
        <v>2005</v>
      </c>
      <c r="B7" s="551" t="s">
        <v>479</v>
      </c>
      <c r="C7" s="551"/>
      <c r="D7" s="551"/>
      <c r="E7" s="552"/>
    </row>
    <row r="8" spans="1:5" ht="22.5" customHeight="1" thickBot="1">
      <c r="A8" s="126">
        <v>2006</v>
      </c>
      <c r="B8" s="542" t="s">
        <v>49</v>
      </c>
      <c r="C8" s="542"/>
      <c r="D8" s="542"/>
      <c r="E8" s="543"/>
    </row>
    <row r="9" ht="16.5" customHeight="1" thickTop="1"/>
    <row r="10" spans="1:5" ht="20.25" customHeight="1">
      <c r="A10" s="548" t="s">
        <v>75</v>
      </c>
      <c r="B10" s="548"/>
      <c r="C10" s="548"/>
      <c r="D10" s="548"/>
      <c r="E10" s="548"/>
    </row>
    <row r="11" spans="1:5" ht="18.75" customHeight="1" thickBot="1">
      <c r="A11" s="3"/>
      <c r="B11" s="3"/>
      <c r="C11" s="3"/>
      <c r="D11" s="3"/>
      <c r="E11" s="3" t="s">
        <v>52</v>
      </c>
    </row>
    <row r="12" spans="1:5" ht="36.75" customHeight="1" thickTop="1">
      <c r="A12" s="127"/>
      <c r="B12" s="113" t="s">
        <v>40</v>
      </c>
      <c r="C12" s="113" t="s">
        <v>423</v>
      </c>
      <c r="D12" s="113" t="s">
        <v>51</v>
      </c>
      <c r="E12" s="128" t="s">
        <v>424</v>
      </c>
    </row>
    <row r="13" spans="1:5" ht="28.5" customHeight="1">
      <c r="A13" s="129" t="s">
        <v>44</v>
      </c>
      <c r="B13" s="130">
        <f>+B14+B15+B16</f>
        <v>21972650</v>
      </c>
      <c r="C13" s="131">
        <f>+B13/B13*100</f>
        <v>100</v>
      </c>
      <c r="D13" s="130">
        <f>+D14+D15+D16</f>
        <v>24935000</v>
      </c>
      <c r="E13" s="132">
        <f>+D13/D13*100</f>
        <v>100</v>
      </c>
    </row>
    <row r="14" spans="1:5" ht="39.75" customHeight="1">
      <c r="A14" s="133" t="s">
        <v>420</v>
      </c>
      <c r="B14" s="134">
        <v>19212650</v>
      </c>
      <c r="C14" s="135">
        <f>+B14/B13*100</f>
        <v>87.4389297604067</v>
      </c>
      <c r="D14" s="134">
        <v>21670000</v>
      </c>
      <c r="E14" s="136">
        <f>+D14/D13*100</f>
        <v>86.90595548425908</v>
      </c>
    </row>
    <row r="15" spans="1:5" ht="52.5" customHeight="1">
      <c r="A15" s="133" t="s">
        <v>421</v>
      </c>
      <c r="B15" s="134">
        <v>550000</v>
      </c>
      <c r="C15" s="135">
        <f>+B15/B13*100</f>
        <v>2.5031118231073632</v>
      </c>
      <c r="D15" s="134">
        <v>760000</v>
      </c>
      <c r="E15" s="136">
        <f>+D15/D13*100</f>
        <v>3.0479246039703227</v>
      </c>
    </row>
    <row r="16" spans="1:5" ht="39.75" customHeight="1">
      <c r="A16" s="114" t="s">
        <v>41</v>
      </c>
      <c r="B16" s="134">
        <v>2210000</v>
      </c>
      <c r="C16" s="135">
        <f>+B16/B13*100</f>
        <v>10.05795841648595</v>
      </c>
      <c r="D16" s="134">
        <v>2505000</v>
      </c>
      <c r="E16" s="136">
        <f>+D16/D13*100</f>
        <v>10.046119911770605</v>
      </c>
    </row>
    <row r="17" spans="1:5" ht="36.75" customHeight="1">
      <c r="A17" s="129" t="s">
        <v>42</v>
      </c>
      <c r="B17" s="130">
        <f>+B18+B19+B20+B21</f>
        <v>30312650</v>
      </c>
      <c r="C17" s="131">
        <f>+B17/B17*100</f>
        <v>100</v>
      </c>
      <c r="D17" s="130">
        <f>+D18+D19+D20+D21</f>
        <v>35935000</v>
      </c>
      <c r="E17" s="132">
        <f>+D17/D17*100</f>
        <v>100</v>
      </c>
    </row>
    <row r="18" spans="1:5" ht="39.75" customHeight="1">
      <c r="A18" s="133" t="s">
        <v>422</v>
      </c>
      <c r="B18" s="134">
        <v>21678140</v>
      </c>
      <c r="C18" s="135">
        <f>+B18/B17*100</f>
        <v>71.51515951261273</v>
      </c>
      <c r="D18" s="134">
        <v>23998925</v>
      </c>
      <c r="E18" s="136">
        <f>+D18/D17*100</f>
        <v>66.78426325309587</v>
      </c>
    </row>
    <row r="19" spans="1:5" ht="39.75" customHeight="1">
      <c r="A19" s="133" t="s">
        <v>425</v>
      </c>
      <c r="B19" s="134">
        <v>7946404</v>
      </c>
      <c r="C19" s="135">
        <f>+B19/B17*100</f>
        <v>26.214811308150228</v>
      </c>
      <c r="D19" s="134">
        <v>11191252</v>
      </c>
      <c r="E19" s="136">
        <f>+D19/D17*100</f>
        <v>31.143041602894115</v>
      </c>
    </row>
    <row r="20" spans="1:5" ht="39.75" customHeight="1">
      <c r="A20" s="114" t="s">
        <v>426</v>
      </c>
      <c r="B20" s="134">
        <v>548106</v>
      </c>
      <c r="C20" s="135">
        <f>+B20/B17*100</f>
        <v>1.8081757945940062</v>
      </c>
      <c r="D20" s="134">
        <v>715823</v>
      </c>
      <c r="E20" s="136">
        <f>+D20/D17*100</f>
        <v>1.99199387783498</v>
      </c>
    </row>
    <row r="21" spans="1:5" ht="39.75" customHeight="1">
      <c r="A21" s="114" t="s">
        <v>427</v>
      </c>
      <c r="B21" s="134">
        <v>140000</v>
      </c>
      <c r="C21" s="135">
        <f>+B21/B17*100</f>
        <v>0.46185338464304504</v>
      </c>
      <c r="D21" s="134">
        <v>29000</v>
      </c>
      <c r="E21" s="136">
        <f>+D21/D17*100</f>
        <v>0.08070126617503827</v>
      </c>
    </row>
    <row r="22" spans="1:5" ht="39.75" customHeight="1" thickBot="1">
      <c r="A22" s="121" t="s">
        <v>43</v>
      </c>
      <c r="B22" s="137">
        <f>+B17-B13</f>
        <v>8340000</v>
      </c>
      <c r="C22" s="138"/>
      <c r="D22" s="137">
        <f>+D17-D13</f>
        <v>11000000</v>
      </c>
      <c r="E22" s="139"/>
    </row>
    <row r="23" spans="1:5" ht="21.75" customHeight="1" thickTop="1">
      <c r="A23" s="546" t="s">
        <v>50</v>
      </c>
      <c r="B23" s="547"/>
      <c r="C23" s="547"/>
      <c r="D23" s="547"/>
      <c r="E23" s="547"/>
    </row>
    <row r="24" ht="12.75">
      <c r="A24" s="2"/>
    </row>
    <row r="25" ht="12.75">
      <c r="A25" s="2"/>
    </row>
  </sheetData>
  <mergeCells count="10">
    <mergeCell ref="B8:E8"/>
    <mergeCell ref="A1:E1"/>
    <mergeCell ref="A2:E2"/>
    <mergeCell ref="A23:E23"/>
    <mergeCell ref="A10:E10"/>
    <mergeCell ref="B3:E3"/>
    <mergeCell ref="B4:E4"/>
    <mergeCell ref="B5:E5"/>
    <mergeCell ref="B6:E6"/>
    <mergeCell ref="B7:E7"/>
  </mergeCells>
  <printOptions/>
  <pageMargins left="0.75" right="0.75" top="1" bottom="1" header="0.5" footer="0.5"/>
  <pageSetup horizontalDpi="300" verticalDpi="300" orientation="portrait" paperSize="9" r:id="rId1"/>
  <headerFooter alignWithMargins="0">
    <oddFooter>&amp;C6</oddFooter>
  </headerFooter>
  <ignoredErrors>
    <ignoredError sqref="C17:D17 C13:D13" formula="1"/>
  </ignoredErrors>
</worksheet>
</file>

<file path=xl/worksheets/sheet9.xml><?xml version="1.0" encoding="utf-8"?>
<worksheet xmlns="http://schemas.openxmlformats.org/spreadsheetml/2006/main" xmlns:r="http://schemas.openxmlformats.org/officeDocument/2006/relationships">
  <sheetPr>
    <tabColor indexed="12"/>
  </sheetPr>
  <dimension ref="A1:M48"/>
  <sheetViews>
    <sheetView showGridLines="0" workbookViewId="0" topLeftCell="A25">
      <selection activeCell="D44" sqref="D44"/>
    </sheetView>
  </sheetViews>
  <sheetFormatPr defaultColWidth="9.00390625" defaultRowHeight="12.75"/>
  <cols>
    <col min="1" max="1" width="22.00390625" style="6" customWidth="1"/>
    <col min="2" max="3" width="0.12890625" style="6" hidden="1" customWidth="1"/>
    <col min="4" max="4" width="20.875" style="6" customWidth="1"/>
    <col min="5" max="5" width="22.125" style="6" customWidth="1"/>
    <col min="6" max="6" width="19.00390625" style="6" bestFit="1" customWidth="1"/>
    <col min="7" max="7" width="14.00390625" style="6" customWidth="1"/>
    <col min="8" max="8" width="14.125" style="6" customWidth="1"/>
    <col min="9" max="9" width="19.875" style="6" customWidth="1"/>
    <col min="10" max="10" width="1.625" style="6" customWidth="1"/>
    <col min="11" max="11" width="9.125" style="6" customWidth="1"/>
    <col min="12" max="12" width="16.00390625" style="364" customWidth="1"/>
    <col min="13" max="13" width="15.875" style="364" customWidth="1"/>
    <col min="14" max="16384" width="9.125" style="6" customWidth="1"/>
  </cols>
  <sheetData>
    <row r="1" spans="1:9" ht="12.75">
      <c r="A1" s="564" t="s">
        <v>442</v>
      </c>
      <c r="B1" s="565"/>
      <c r="C1" s="565"/>
      <c r="D1" s="565"/>
      <c r="E1" s="565"/>
      <c r="F1" s="565"/>
      <c r="G1" s="565"/>
      <c r="H1" s="565"/>
      <c r="I1" s="565"/>
    </row>
    <row r="2" spans="1:9" ht="13.5" customHeight="1">
      <c r="A2" s="566" t="s">
        <v>54</v>
      </c>
      <c r="B2" s="567"/>
      <c r="C2" s="567"/>
      <c r="D2" s="567"/>
      <c r="E2" s="567"/>
      <c r="F2" s="567"/>
      <c r="G2" s="567"/>
      <c r="H2" s="567"/>
      <c r="I2" s="567"/>
    </row>
    <row r="3" spans="1:9" ht="16.5" customHeight="1" thickBot="1">
      <c r="A3" s="350" t="s">
        <v>112</v>
      </c>
      <c r="I3" s="351" t="s">
        <v>52</v>
      </c>
    </row>
    <row r="4" spans="1:9" ht="14.25" customHeight="1" thickTop="1">
      <c r="A4" s="573" t="s">
        <v>443</v>
      </c>
      <c r="B4" s="568" t="s">
        <v>57</v>
      </c>
      <c r="C4" s="575" t="s">
        <v>58</v>
      </c>
      <c r="D4" s="568" t="s">
        <v>444</v>
      </c>
      <c r="E4" s="568" t="s">
        <v>445</v>
      </c>
      <c r="F4" s="555" t="s">
        <v>446</v>
      </c>
      <c r="G4" s="556"/>
      <c r="H4" s="555" t="s">
        <v>62</v>
      </c>
      <c r="I4" s="570"/>
    </row>
    <row r="5" spans="1:9" ht="23.25" customHeight="1">
      <c r="A5" s="574"/>
      <c r="B5" s="569"/>
      <c r="C5" s="576"/>
      <c r="D5" s="569"/>
      <c r="E5" s="569"/>
      <c r="F5" s="557"/>
      <c r="G5" s="558"/>
      <c r="H5" s="571"/>
      <c r="I5" s="572"/>
    </row>
    <row r="6" spans="1:13" ht="12" customHeight="1">
      <c r="A6" s="144">
        <v>1989</v>
      </c>
      <c r="B6" s="352">
        <v>4705</v>
      </c>
      <c r="C6" s="353">
        <v>669</v>
      </c>
      <c r="D6" s="354">
        <v>5374</v>
      </c>
      <c r="E6" s="354">
        <v>4692</v>
      </c>
      <c r="F6" s="354">
        <v>682</v>
      </c>
      <c r="G6" s="355"/>
      <c r="H6" s="354">
        <v>319.01806053858854</v>
      </c>
      <c r="I6" s="356"/>
      <c r="L6" s="365">
        <v>1989</v>
      </c>
      <c r="M6" s="366">
        <v>319.01806053858854</v>
      </c>
    </row>
    <row r="7" spans="1:13" ht="12" customHeight="1">
      <c r="A7" s="144">
        <f>+A6+1</f>
        <v>1990</v>
      </c>
      <c r="B7" s="352">
        <v>9289</v>
      </c>
      <c r="C7" s="353">
        <v>1414</v>
      </c>
      <c r="D7" s="354">
        <v>10703</v>
      </c>
      <c r="E7" s="354">
        <v>9304</v>
      </c>
      <c r="F7" s="354">
        <v>1399</v>
      </c>
      <c r="G7" s="355"/>
      <c r="H7" s="354">
        <v>531.036603187738</v>
      </c>
      <c r="I7" s="356"/>
      <c r="L7" s="365">
        <f>+L6+1</f>
        <v>1990</v>
      </c>
      <c r="M7" s="366">
        <v>531.036603187738</v>
      </c>
    </row>
    <row r="8" spans="1:13" ht="12" customHeight="1">
      <c r="A8" s="144">
        <f>+A7+1</f>
        <v>1991</v>
      </c>
      <c r="B8" s="352">
        <v>15426</v>
      </c>
      <c r="C8" s="353">
        <v>3085</v>
      </c>
      <c r="D8" s="354">
        <v>18511</v>
      </c>
      <c r="E8" s="354">
        <v>18383</v>
      </c>
      <c r="F8" s="354">
        <v>128</v>
      </c>
      <c r="G8" s="355"/>
      <c r="H8" s="354">
        <v>30.014960581915048</v>
      </c>
      <c r="I8" s="356"/>
      <c r="L8" s="365">
        <f>+L7+1</f>
        <v>1991</v>
      </c>
      <c r="M8" s="366">
        <v>30.014960581915048</v>
      </c>
    </row>
    <row r="9" spans="1:13" ht="12" customHeight="1">
      <c r="A9" s="144">
        <f>+A8+1</f>
        <v>1992</v>
      </c>
      <c r="B9" s="352">
        <v>29024</v>
      </c>
      <c r="C9" s="353">
        <v>3765</v>
      </c>
      <c r="D9" s="354">
        <v>32789</v>
      </c>
      <c r="E9" s="354">
        <v>35345</v>
      </c>
      <c r="F9" s="354">
        <v>-2556</v>
      </c>
      <c r="G9" s="355" t="s">
        <v>55</v>
      </c>
      <c r="H9" s="354">
        <v>-365.4049046601992</v>
      </c>
      <c r="I9" s="357" t="s">
        <v>55</v>
      </c>
      <c r="L9" s="365">
        <f>+L8+1</f>
        <v>1992</v>
      </c>
      <c r="M9" s="366">
        <v>-365.4049046601992</v>
      </c>
    </row>
    <row r="10" spans="1:13" ht="12" customHeight="1">
      <c r="A10" s="144">
        <v>1993</v>
      </c>
      <c r="B10" s="352">
        <v>44444</v>
      </c>
      <c r="C10" s="353">
        <v>7724</v>
      </c>
      <c r="D10" s="354">
        <v>52168</v>
      </c>
      <c r="E10" s="354">
        <v>60252</v>
      </c>
      <c r="F10" s="354">
        <v>-8084</v>
      </c>
      <c r="G10" s="355" t="s">
        <v>55</v>
      </c>
      <c r="H10" s="354">
        <v>-720.7489940808355</v>
      </c>
      <c r="I10" s="357" t="s">
        <v>55</v>
      </c>
      <c r="L10" s="365">
        <v>1993</v>
      </c>
      <c r="M10" s="366">
        <v>-720.7489940808355</v>
      </c>
    </row>
    <row r="11" spans="1:13" ht="12" customHeight="1">
      <c r="A11" s="144">
        <v>1994</v>
      </c>
      <c r="B11" s="352">
        <v>65304</v>
      </c>
      <c r="C11" s="353">
        <v>25031</v>
      </c>
      <c r="D11" s="354">
        <v>90335</v>
      </c>
      <c r="E11" s="354">
        <v>109734</v>
      </c>
      <c r="F11" s="354">
        <v>-19399</v>
      </c>
      <c r="G11" s="355" t="s">
        <v>55</v>
      </c>
      <c r="H11" s="354">
        <v>-641.019710059109</v>
      </c>
      <c r="I11" s="357" t="s">
        <v>55</v>
      </c>
      <c r="L11" s="365">
        <v>1994</v>
      </c>
      <c r="M11" s="366">
        <v>-641.019710059109</v>
      </c>
    </row>
    <row r="12" spans="1:13" ht="12" customHeight="1">
      <c r="A12" s="144">
        <v>1995</v>
      </c>
      <c r="B12" s="352">
        <v>103384</v>
      </c>
      <c r="C12" s="353">
        <v>34774</v>
      </c>
      <c r="D12" s="354">
        <v>138158</v>
      </c>
      <c r="E12" s="354">
        <v>219493</v>
      </c>
      <c r="F12" s="354">
        <v>-81335</v>
      </c>
      <c r="G12" s="355" t="s">
        <v>55</v>
      </c>
      <c r="H12" s="354">
        <v>-1746.9390174700345</v>
      </c>
      <c r="I12" s="357" t="s">
        <v>55</v>
      </c>
      <c r="L12" s="365">
        <v>1995</v>
      </c>
      <c r="M12" s="366">
        <v>-1746.9390174700345</v>
      </c>
    </row>
    <row r="13" spans="1:13" ht="12" customHeight="1">
      <c r="A13" s="144">
        <v>1996</v>
      </c>
      <c r="B13" s="352">
        <v>277533</v>
      </c>
      <c r="C13" s="353">
        <v>64903</v>
      </c>
      <c r="D13" s="354">
        <v>342436</v>
      </c>
      <c r="E13" s="354">
        <v>486819</v>
      </c>
      <c r="F13" s="354">
        <v>-144383</v>
      </c>
      <c r="G13" s="355" t="s">
        <v>55</v>
      </c>
      <c r="H13" s="354">
        <v>-1738.581867827656</v>
      </c>
      <c r="I13" s="357" t="s">
        <v>55</v>
      </c>
      <c r="L13" s="365">
        <v>1996</v>
      </c>
      <c r="M13" s="366">
        <v>-1738.581867827656</v>
      </c>
    </row>
    <row r="14" spans="1:13" ht="12" customHeight="1">
      <c r="A14" s="144">
        <v>1997</v>
      </c>
      <c r="B14" s="352">
        <v>659653</v>
      </c>
      <c r="C14" s="353">
        <f aca="true" t="shared" si="0" ref="C14:C19">+D14-B14</f>
        <v>64736</v>
      </c>
      <c r="D14" s="354">
        <v>724389</v>
      </c>
      <c r="E14" s="354">
        <v>1060389</v>
      </c>
      <c r="F14" s="354">
        <v>-336000</v>
      </c>
      <c r="G14" s="355" t="s">
        <v>55</v>
      </c>
      <c r="H14" s="354">
        <v>-2221</v>
      </c>
      <c r="I14" s="357" t="s">
        <v>55</v>
      </c>
      <c r="L14" s="365">
        <v>1997</v>
      </c>
      <c r="M14" s="366">
        <v>-2221</v>
      </c>
    </row>
    <row r="15" spans="1:13" ht="12" customHeight="1">
      <c r="A15" s="144">
        <v>1998</v>
      </c>
      <c r="B15" s="352">
        <v>1283913</v>
      </c>
      <c r="C15" s="353">
        <f t="shared" si="0"/>
        <v>266105</v>
      </c>
      <c r="D15" s="354">
        <v>1550018</v>
      </c>
      <c r="E15" s="354">
        <v>1997018</v>
      </c>
      <c r="F15" s="354">
        <v>-447000</v>
      </c>
      <c r="G15" s="355" t="s">
        <v>55</v>
      </c>
      <c r="H15" s="354">
        <v>-1692</v>
      </c>
      <c r="I15" s="357" t="s">
        <v>55</v>
      </c>
      <c r="L15" s="365">
        <v>1998</v>
      </c>
      <c r="M15" s="366">
        <v>-1692</v>
      </c>
    </row>
    <row r="16" spans="1:13" ht="12" customHeight="1">
      <c r="A16" s="144">
        <v>1999</v>
      </c>
      <c r="B16" s="352">
        <v>2126820</v>
      </c>
      <c r="C16" s="353">
        <f t="shared" si="0"/>
        <v>368015</v>
      </c>
      <c r="D16" s="354">
        <v>2494835</v>
      </c>
      <c r="E16" s="354">
        <v>3605835</v>
      </c>
      <c r="F16" s="354">
        <v>-1111000</v>
      </c>
      <c r="G16" s="355" t="s">
        <v>55</v>
      </c>
      <c r="H16" s="354">
        <v>-2662</v>
      </c>
      <c r="I16" s="357" t="s">
        <v>56</v>
      </c>
      <c r="L16" s="365">
        <v>1999</v>
      </c>
      <c r="M16" s="366">
        <v>-2662</v>
      </c>
    </row>
    <row r="17" spans="1:13" ht="12" customHeight="1">
      <c r="A17" s="144">
        <v>2000</v>
      </c>
      <c r="B17" s="352">
        <v>4046018</v>
      </c>
      <c r="C17" s="353">
        <f t="shared" si="0"/>
        <v>848700</v>
      </c>
      <c r="D17" s="354">
        <v>4894718</v>
      </c>
      <c r="E17" s="354">
        <v>5294718</v>
      </c>
      <c r="F17" s="354">
        <v>-400000</v>
      </c>
      <c r="G17" s="355" t="s">
        <v>55</v>
      </c>
      <c r="H17" s="354">
        <v>-688</v>
      </c>
      <c r="I17" s="357" t="s">
        <v>56</v>
      </c>
      <c r="L17" s="365">
        <v>2000</v>
      </c>
      <c r="M17" s="366">
        <v>-688</v>
      </c>
    </row>
    <row r="18" spans="1:13" ht="12" customHeight="1">
      <c r="A18" s="144">
        <v>2001</v>
      </c>
      <c r="B18" s="352">
        <v>6158198</v>
      </c>
      <c r="C18" s="353">
        <f t="shared" si="0"/>
        <v>1540333</v>
      </c>
      <c r="D18" s="354">
        <v>7698531</v>
      </c>
      <c r="E18" s="354">
        <v>8806531</v>
      </c>
      <c r="F18" s="354">
        <v>-1108000</v>
      </c>
      <c r="G18" s="355" t="s">
        <v>55</v>
      </c>
      <c r="H18" s="354">
        <v>-806</v>
      </c>
      <c r="I18" s="357" t="s">
        <v>56</v>
      </c>
      <c r="L18" s="365">
        <v>2001</v>
      </c>
      <c r="M18" s="366">
        <v>-806</v>
      </c>
    </row>
    <row r="19" spans="1:13" ht="12" customHeight="1">
      <c r="A19" s="144">
        <v>2002</v>
      </c>
      <c r="B19" s="352">
        <v>9348501</v>
      </c>
      <c r="C19" s="353">
        <f t="shared" si="0"/>
        <v>1783548</v>
      </c>
      <c r="D19" s="354">
        <v>11132049</v>
      </c>
      <c r="E19" s="354">
        <v>13518049</v>
      </c>
      <c r="F19" s="354">
        <v>-2386000</v>
      </c>
      <c r="G19" s="355" t="s">
        <v>55</v>
      </c>
      <c r="H19" s="354">
        <v>-1614</v>
      </c>
      <c r="I19" s="357" t="s">
        <v>56</v>
      </c>
      <c r="L19" s="365">
        <v>2002</v>
      </c>
      <c r="M19" s="366">
        <v>-1614</v>
      </c>
    </row>
    <row r="20" spans="1:13" ht="12" customHeight="1">
      <c r="A20" s="144">
        <v>2003</v>
      </c>
      <c r="B20" s="352">
        <v>9348501</v>
      </c>
      <c r="C20" s="353">
        <f>+D20-B20</f>
        <v>6101559</v>
      </c>
      <c r="D20" s="354">
        <v>15450060</v>
      </c>
      <c r="E20" s="354">
        <v>20258677</v>
      </c>
      <c r="F20" s="354">
        <v>-4808617</v>
      </c>
      <c r="G20" s="355" t="s">
        <v>55</v>
      </c>
      <c r="H20" s="354">
        <v>-1924.7</v>
      </c>
      <c r="I20" s="357" t="s">
        <v>56</v>
      </c>
      <c r="L20" s="365">
        <v>2003</v>
      </c>
      <c r="M20" s="366">
        <v>-1924.7</v>
      </c>
    </row>
    <row r="21" spans="1:13" ht="12" customHeight="1">
      <c r="A21" s="144" t="s">
        <v>60</v>
      </c>
      <c r="B21" s="352">
        <v>9348502</v>
      </c>
      <c r="C21" s="353">
        <f>+D21-B21</f>
        <v>10069456</v>
      </c>
      <c r="D21" s="354">
        <v>19417958</v>
      </c>
      <c r="E21" s="354">
        <v>25174958</v>
      </c>
      <c r="F21" s="354">
        <v>-5757000</v>
      </c>
      <c r="G21" s="355" t="s">
        <v>55</v>
      </c>
      <c r="H21" s="354">
        <v>-4053.2</v>
      </c>
      <c r="I21" s="357" t="s">
        <v>56</v>
      </c>
      <c r="L21" s="365" t="s">
        <v>60</v>
      </c>
      <c r="M21" s="366">
        <v>-4053.2</v>
      </c>
    </row>
    <row r="22" spans="1:13" ht="12" customHeight="1">
      <c r="A22" s="144" t="s">
        <v>61</v>
      </c>
      <c r="B22" s="352">
        <v>9348502</v>
      </c>
      <c r="C22" s="353">
        <f>+D22-B22</f>
        <v>13391267</v>
      </c>
      <c r="D22" s="354">
        <v>22739769</v>
      </c>
      <c r="E22" s="354">
        <v>30151436</v>
      </c>
      <c r="F22" s="354">
        <v>-7411667</v>
      </c>
      <c r="G22" s="355" t="s">
        <v>55</v>
      </c>
      <c r="H22" s="354">
        <v>-5604.5</v>
      </c>
      <c r="I22" s="357" t="s">
        <v>56</v>
      </c>
      <c r="L22" s="365" t="s">
        <v>61</v>
      </c>
      <c r="M22" s="366">
        <v>-5604.5</v>
      </c>
    </row>
    <row r="23" spans="1:13" ht="12" customHeight="1" thickBot="1">
      <c r="A23" s="149" t="s">
        <v>59</v>
      </c>
      <c r="B23" s="358">
        <v>9348503</v>
      </c>
      <c r="C23" s="359">
        <f>+D23-B23</f>
        <v>18477057</v>
      </c>
      <c r="D23" s="360">
        <f>33545246-4783000-936686</f>
        <v>27825560</v>
      </c>
      <c r="E23" s="360">
        <v>37773363</v>
      </c>
      <c r="F23" s="360">
        <f>+D23-E23</f>
        <v>-9947803</v>
      </c>
      <c r="G23" s="361" t="s">
        <v>55</v>
      </c>
      <c r="H23" s="362">
        <f>+F23/1569.7</f>
        <v>-6337.391221252468</v>
      </c>
      <c r="I23" s="363" t="s">
        <v>56</v>
      </c>
      <c r="L23" s="365" t="s">
        <v>59</v>
      </c>
      <c r="M23" s="366">
        <v>-8205.023865444351</v>
      </c>
    </row>
    <row r="24" spans="1:9" ht="24.75" customHeight="1" thickTop="1">
      <c r="A24" s="562" t="s">
        <v>447</v>
      </c>
      <c r="B24" s="563"/>
      <c r="C24" s="563"/>
      <c r="D24" s="563"/>
      <c r="E24" s="563"/>
      <c r="F24" s="563"/>
      <c r="G24" s="563"/>
      <c r="H24" s="563"/>
      <c r="I24" s="563"/>
    </row>
    <row r="25" spans="1:10" ht="14.25" customHeight="1">
      <c r="A25" s="553" t="s">
        <v>448</v>
      </c>
      <c r="B25" s="554"/>
      <c r="C25" s="554"/>
      <c r="D25" s="554"/>
      <c r="E25" s="554"/>
      <c r="F25" s="554"/>
      <c r="G25" s="554"/>
      <c r="H25" s="554"/>
      <c r="I25" s="554"/>
      <c r="J25" s="554"/>
    </row>
    <row r="26" spans="1:12" ht="14.25" customHeight="1">
      <c r="A26" s="553" t="s">
        <v>456</v>
      </c>
      <c r="B26" s="559"/>
      <c r="C26" s="559"/>
      <c r="D26" s="559"/>
      <c r="E26" s="559"/>
      <c r="F26" s="559"/>
      <c r="G26" s="559"/>
      <c r="H26" s="559"/>
      <c r="I26" s="559"/>
      <c r="J26" s="81"/>
      <c r="L26" s="364" t="s">
        <v>53</v>
      </c>
    </row>
    <row r="27" spans="1:9" ht="27" customHeight="1">
      <c r="A27" s="560" t="s">
        <v>684</v>
      </c>
      <c r="B27" s="561"/>
      <c r="C27" s="561"/>
      <c r="D27" s="561"/>
      <c r="E27" s="561" t="s">
        <v>53</v>
      </c>
      <c r="F27" s="561" t="s">
        <v>53</v>
      </c>
      <c r="G27" s="561"/>
      <c r="H27" s="561"/>
      <c r="I27" s="561"/>
    </row>
    <row r="38" ht="12">
      <c r="F38" s="6" t="s">
        <v>53</v>
      </c>
    </row>
    <row r="39" ht="12">
      <c r="F39" s="6" t="s">
        <v>53</v>
      </c>
    </row>
    <row r="40" ht="12">
      <c r="F40" s="6" t="s">
        <v>53</v>
      </c>
    </row>
    <row r="43" ht="12">
      <c r="F43" s="6" t="s">
        <v>53</v>
      </c>
    </row>
    <row r="46" ht="12">
      <c r="E46" s="6" t="s">
        <v>53</v>
      </c>
    </row>
    <row r="48" ht="12">
      <c r="B48" s="6">
        <v>7</v>
      </c>
    </row>
  </sheetData>
  <mergeCells count="13">
    <mergeCell ref="A1:I1"/>
    <mergeCell ref="A2:I2"/>
    <mergeCell ref="E4:E5"/>
    <mergeCell ref="H4:I5"/>
    <mergeCell ref="A4:A5"/>
    <mergeCell ref="B4:B5"/>
    <mergeCell ref="C4:C5"/>
    <mergeCell ref="D4:D5"/>
    <mergeCell ref="A25:J25"/>
    <mergeCell ref="F4:G5"/>
    <mergeCell ref="A26:I26"/>
    <mergeCell ref="A27:I27"/>
    <mergeCell ref="A24:I24"/>
  </mergeCells>
  <printOptions/>
  <pageMargins left="0.75" right="0.75" top="0.29" bottom="0.48" header="0.2" footer="0.5"/>
  <pageSetup horizontalDpi="300" verticalDpi="300" orientation="landscape" paperSize="9" r:id="rId2"/>
  <headerFooter alignWithMargins="0">
    <oddFooter>&amp;C7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SSK</dc:creator>
  <cp:keywords/>
  <dc:description/>
  <cp:lastModifiedBy>Administrator</cp:lastModifiedBy>
  <cp:lastPrinted>2006-07-07T11:52:48Z</cp:lastPrinted>
  <dcterms:created xsi:type="dcterms:W3CDTF">2006-03-30T06:42:57Z</dcterms:created>
  <dcterms:modified xsi:type="dcterms:W3CDTF">2006-09-12T06:30:34Z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350407818</vt:i4>
  </property>
  <property fmtid="{D5CDD505-2E9C-101B-9397-08002B2CF9AE}" pid="3" name="_EmailSubject">
    <vt:lpwstr/>
  </property>
  <property fmtid="{D5CDD505-2E9C-101B-9397-08002B2CF9AE}" pid="4" name="_AuthorEmail">
    <vt:lpwstr>ttopaloglu@ssk.gov.tr</vt:lpwstr>
  </property>
  <property fmtid="{D5CDD505-2E9C-101B-9397-08002B2CF9AE}" pid="5" name="_AuthorEmailDisplayName">
    <vt:lpwstr>TULAY TOPALOGLU</vt:lpwstr>
  </property>
  <property fmtid="{D5CDD505-2E9C-101B-9397-08002B2CF9AE}" pid="6" name="_PreviousAdHocReviewCycleID">
    <vt:i4>1532117060</vt:i4>
  </property>
</Properties>
</file>