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8925" windowHeight="4035" tabRatio="1000" activeTab="11"/>
  </bookViews>
  <sheets>
    <sheet name="KAPAK" sheetId="1" r:id="rId1"/>
    <sheet name="İÇİNDEKİLER"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s>
  <externalReferences>
    <externalReference r:id="rId27"/>
    <externalReference r:id="rId28"/>
  </externalReferences>
  <definedNames/>
  <calcPr fullCalcOnLoad="1"/>
</workbook>
</file>

<file path=xl/sharedStrings.xml><?xml version="1.0" encoding="utf-8"?>
<sst xmlns="http://schemas.openxmlformats.org/spreadsheetml/2006/main" count="934" uniqueCount="505">
  <si>
    <t>Yıllar</t>
  </si>
  <si>
    <t>Oran</t>
  </si>
  <si>
    <t>T.C</t>
  </si>
  <si>
    <t>ÇALIŞMA VE SOSYAL GÜVENLİK BAKANLIĞI</t>
  </si>
  <si>
    <t>SOSYAL SİGORTALAR KURUMU</t>
  </si>
  <si>
    <t>SSK Finansman, Aktüerya ve Planlama Daire Başkanlığı tarafından hazırlanmıştır</t>
  </si>
  <si>
    <r>
      <t xml:space="preserve">AYLIK İSTATİSTİK BÜLTENİ     </t>
    </r>
    <r>
      <rPr>
        <i/>
        <sz val="26"/>
        <color indexed="18"/>
        <rFont val="Times New Roman"/>
        <family val="1"/>
      </rPr>
      <t xml:space="preserve">         </t>
    </r>
    <r>
      <rPr>
        <i/>
        <sz val="26"/>
        <color indexed="10"/>
        <rFont val="Times New Roman"/>
        <family val="1"/>
      </rPr>
      <t xml:space="preserve">  ( Mart 2006 )</t>
    </r>
  </si>
  <si>
    <r>
      <t xml:space="preserve">( Aylık İstatistik Bültenimizdeki bilgilere </t>
    </r>
    <r>
      <rPr>
        <b/>
        <i/>
        <sz val="14"/>
        <rFont val="Arial Tur"/>
        <family val="0"/>
      </rPr>
      <t>www.ssk.gov.tr</t>
    </r>
    <r>
      <rPr>
        <i/>
        <sz val="11"/>
        <rFont val="Arial Tur"/>
        <family val="0"/>
      </rPr>
      <t xml:space="preserve"> internet adresindeki istatistikler bölümünden ulaşabilirsiniz )</t>
    </r>
  </si>
  <si>
    <t>Aktif Pasif Oranı ( * )</t>
  </si>
  <si>
    <r>
      <t xml:space="preserve">(**) </t>
    </r>
    <r>
      <rPr>
        <b/>
        <sz val="12"/>
        <rFont val="Times New Roman"/>
        <family val="1"/>
      </rPr>
      <t xml:space="preserve">2003 </t>
    </r>
    <r>
      <rPr>
        <sz val="12"/>
        <rFont val="Times New Roman"/>
        <family val="1"/>
      </rPr>
      <t xml:space="preserve">yılında isteğe bağlı sigortalı şartları </t>
    </r>
    <r>
      <rPr>
        <b/>
        <sz val="12"/>
        <rFont val="Times New Roman"/>
        <family val="1"/>
      </rPr>
      <t xml:space="preserve">4842 </t>
    </r>
    <r>
      <rPr>
        <sz val="12"/>
        <rFont val="Times New Roman"/>
        <family val="1"/>
      </rPr>
      <t xml:space="preserve">sayılı kanunla yeniden düzenlenmiştir.Buna göre </t>
    </r>
    <r>
      <rPr>
        <b/>
        <sz val="12"/>
        <rFont val="Times New Roman"/>
        <family val="1"/>
      </rPr>
      <t>üç ay prim</t>
    </r>
    <r>
      <rPr>
        <sz val="12"/>
        <rFont val="Times New Roman"/>
        <family val="1"/>
      </rPr>
      <t xml:space="preserve"> borcunu ödemeyen kişiler sistemden çıkarılmıştır.Bu nedenle isteğe bağlı sigortalı sayısı düşmüştür.</t>
    </r>
  </si>
  <si>
    <t>(*)   Zorunlu sigortalı, isteğe bağlı, çırak, topluluk ve tarım sigortalılarının emekli sayısına bölümü ile bulunmuştur.</t>
  </si>
  <si>
    <t>İsteğe Bağlı (**)</t>
  </si>
  <si>
    <r>
      <t>•ASGARİ ÜCRET</t>
    </r>
    <r>
      <rPr>
        <b/>
        <sz val="11"/>
        <color indexed="8"/>
        <rFont val="Times New Roman"/>
        <family val="1"/>
      </rPr>
      <t xml:space="preserve"> (01.01.2006-31.12.2006)</t>
    </r>
  </si>
  <si>
    <t>Tablo 17 - Asgari Ücret- Asgari Emekli Aylığı</t>
  </si>
  <si>
    <r>
      <t>•</t>
    </r>
    <r>
      <rPr>
        <b/>
        <sz val="9"/>
        <color indexed="8"/>
        <rFont val="Times New Roman"/>
        <family val="1"/>
      </rPr>
      <t>TOPLAM</t>
    </r>
  </si>
  <si>
    <t>Tablo 18 - Tarım Sigortalıları</t>
  </si>
  <si>
    <r>
      <t xml:space="preserve">• SİGORTALI BAŞINA AYLIK PRİM </t>
    </r>
    <r>
      <rPr>
        <i/>
        <sz val="9"/>
        <color indexed="8"/>
        <rFont val="Times New Roman"/>
        <family val="1"/>
      </rPr>
      <t>(TL.)               (ARALIK AYI İTİBARİYLE)</t>
    </r>
  </si>
  <si>
    <r>
      <t xml:space="preserve">•  </t>
    </r>
    <r>
      <rPr>
        <i/>
        <sz val="9"/>
        <color indexed="8"/>
        <rFont val="Times New Roman"/>
        <family val="1"/>
      </rPr>
      <t>(ASGARİ ÜCRET ÜZERİNDEN ÇALIŞANLAR EMEKLİ OLDUKLARINDA % 26,5 DAHA FAZLA AYLIK ALMAKTADIRLAR</t>
    </r>
  </si>
  <si>
    <r>
      <t xml:space="preserve">4958 SAYILI KANUNA GÖRE İDARİ PARA CEZALARI     </t>
    </r>
    <r>
      <rPr>
        <i/>
        <sz val="10"/>
        <rFont val="Times New Roman"/>
        <family val="1"/>
      </rPr>
      <t xml:space="preserve"> (01.01.2006-31.12.2006 )</t>
    </r>
  </si>
  <si>
    <t xml:space="preserve">Tablo 19 - İdari para cezaları  </t>
  </si>
  <si>
    <r>
      <t xml:space="preserve">TABLO 16 - SSK Kapsamındaki Nüfus  </t>
    </r>
    <r>
      <rPr>
        <i/>
        <sz val="12"/>
        <color indexed="8"/>
        <rFont val="Times New Roman"/>
        <family val="1"/>
      </rPr>
      <t>(Population Under Coverage of SII)</t>
    </r>
  </si>
  <si>
    <t>Tablo 20 - Prime Esas Kazanç Alt ve Üst Sınırları İle Asgari Ücret Tutarları (TL)</t>
  </si>
  <si>
    <t>Tablo 21 - Kurumumuzdan Aylık ve Gelir Alanların Sayısı</t>
  </si>
  <si>
    <t>Tablo 22 - Yıl İçinde Aylık ve Gelir Bağlananların Sayısı</t>
  </si>
  <si>
    <r>
      <t xml:space="preserve">Ölüm Aylığı Al. </t>
    </r>
    <r>
      <rPr>
        <i/>
        <sz val="10"/>
        <color indexed="8"/>
        <rFont val="Times New Roman"/>
        <family val="1"/>
      </rPr>
      <t xml:space="preserve"> (Kişi)</t>
    </r>
  </si>
  <si>
    <r>
      <t xml:space="preserve">İşkazası ve Mes. Hast. Sonucu Ölüm Haksah. </t>
    </r>
    <r>
      <rPr>
        <i/>
        <sz val="10"/>
        <color indexed="8"/>
        <rFont val="Times New Roman"/>
        <family val="1"/>
      </rPr>
      <t>( Kişi )</t>
    </r>
  </si>
  <si>
    <t>KADRO</t>
  </si>
  <si>
    <t>ÇALIŞAN</t>
  </si>
  <si>
    <t>MEMUR</t>
  </si>
  <si>
    <t>İŞÇİ</t>
  </si>
  <si>
    <t>SÖZLEŞMELİ</t>
  </si>
  <si>
    <t>TOPLAM</t>
  </si>
  <si>
    <r>
      <t xml:space="preserve">Tablo 2 - </t>
    </r>
    <r>
      <rPr>
        <sz val="12"/>
        <rFont val="Times New Roman"/>
        <family val="1"/>
      </rPr>
      <t>Personel Dağılımı</t>
    </r>
  </si>
  <si>
    <t>Tablo 3 - Merkez Teşkilatı Personel Durumu</t>
  </si>
  <si>
    <t>BAŞKANLIK</t>
  </si>
  <si>
    <t>SİGORTA İŞL.GEN.MÜD.</t>
  </si>
  <si>
    <t>SAĞLIK İŞL.GEN.MÜD.</t>
  </si>
  <si>
    <r>
      <t>MERKEZ  TEŞKİLATI  PERSONEL  DURUMU</t>
    </r>
    <r>
      <rPr>
        <sz val="12"/>
        <rFont val="Times New Roman"/>
        <family val="1"/>
      </rPr>
      <t xml:space="preserve"> </t>
    </r>
    <r>
      <rPr>
        <i/>
        <sz val="12"/>
        <rFont val="Times New Roman"/>
        <family val="1"/>
      </rPr>
      <t>( Personnel Sıtuatıon Of Central Organization )</t>
    </r>
  </si>
  <si>
    <r>
      <t xml:space="preserve">Tablo 4 - </t>
    </r>
    <r>
      <rPr>
        <sz val="12"/>
        <rFont val="Times New Roman"/>
        <family val="1"/>
      </rPr>
      <t>Taşra Teşkilatı Personel Durumu</t>
    </r>
  </si>
  <si>
    <t>SİGORTA TESİSLERİ</t>
  </si>
  <si>
    <t>SAĞLIK TESİSLERİ</t>
  </si>
  <si>
    <t>Tablo 5 - İlaç ve Tıbbi Malzeme Sanayii Müessesesi Personel Durumu</t>
  </si>
  <si>
    <r>
      <t xml:space="preserve">2005 YILI BÜTÇE </t>
    </r>
    <r>
      <rPr>
        <sz val="10"/>
        <rFont val="Times New Roman"/>
        <family val="1"/>
      </rPr>
      <t xml:space="preserve">                         </t>
    </r>
    <r>
      <rPr>
        <i/>
        <sz val="10"/>
        <rFont val="Times New Roman"/>
        <family val="1"/>
      </rPr>
      <t xml:space="preserve">    ( Budget in 2005 )</t>
    </r>
  </si>
  <si>
    <r>
      <t>DİĞER GELİRLER</t>
    </r>
    <r>
      <rPr>
        <i/>
        <sz val="10"/>
        <rFont val="Times New Roman"/>
        <family val="1"/>
      </rPr>
      <t xml:space="preserve">                     ( Other Incomes )</t>
    </r>
  </si>
  <si>
    <r>
      <t xml:space="preserve">GİDERLER   TOPLAMI                                            </t>
    </r>
    <r>
      <rPr>
        <i/>
        <sz val="10"/>
        <rFont val="Times New Roman"/>
        <family val="1"/>
      </rPr>
      <t>( Total Expenditures )</t>
    </r>
  </si>
  <si>
    <r>
      <t xml:space="preserve">ÖDEMELER AÇIĞI                                            </t>
    </r>
    <r>
      <rPr>
        <i/>
        <sz val="10"/>
        <rFont val="Times New Roman"/>
        <family val="1"/>
      </rPr>
      <t>( Deficit of Payments )</t>
    </r>
  </si>
  <si>
    <r>
      <t xml:space="preserve">GELİRLER  TOPLAMI                                                                         </t>
    </r>
    <r>
      <rPr>
        <i/>
        <sz val="10"/>
        <rFont val="Times New Roman"/>
        <family val="1"/>
      </rPr>
      <t>( Total Revenue )</t>
    </r>
  </si>
  <si>
    <r>
      <t xml:space="preserve">8,5     </t>
    </r>
    <r>
      <rPr>
        <b/>
        <sz val="14"/>
        <rFont val="Times New Roman"/>
        <family val="1"/>
      </rPr>
      <t>Katrilyon TL</t>
    </r>
  </si>
  <si>
    <r>
      <t xml:space="preserve">18,8     </t>
    </r>
    <r>
      <rPr>
        <b/>
        <sz val="14"/>
        <rFont val="Times New Roman"/>
        <family val="1"/>
      </rPr>
      <t>Katrilyon TL</t>
    </r>
  </si>
  <si>
    <r>
      <t xml:space="preserve">13,5   </t>
    </r>
    <r>
      <rPr>
        <b/>
        <sz val="14"/>
        <rFont val="Times New Roman"/>
        <family val="1"/>
      </rPr>
      <t xml:space="preserve">  Katrilyon TL</t>
    </r>
  </si>
  <si>
    <r>
      <t xml:space="preserve">22,6     </t>
    </r>
    <r>
      <rPr>
        <b/>
        <sz val="14"/>
        <rFont val="Times New Roman"/>
        <family val="1"/>
      </rPr>
      <t>Katrilyon TL</t>
    </r>
  </si>
  <si>
    <r>
      <t xml:space="preserve">60,3    </t>
    </r>
    <r>
      <rPr>
        <b/>
        <sz val="14"/>
        <rFont val="Times New Roman"/>
        <family val="1"/>
      </rPr>
      <t xml:space="preserve"> Katrilyon TL</t>
    </r>
  </si>
  <si>
    <r>
      <t xml:space="preserve">35,9     </t>
    </r>
    <r>
      <rPr>
        <b/>
        <sz val="14"/>
        <rFont val="Times New Roman"/>
        <family val="1"/>
      </rPr>
      <t>Katrilyon TL</t>
    </r>
  </si>
  <si>
    <r>
      <t xml:space="preserve">NOT : </t>
    </r>
    <r>
      <rPr>
        <sz val="12"/>
        <rFont val="Times New Roman"/>
        <family val="1"/>
      </rPr>
      <t>2005 yılı revize bütçesi yapılmadığından rakamları verilememektedir.</t>
    </r>
  </si>
  <si>
    <r>
      <t xml:space="preserve">2006 YILI BÜTÇE </t>
    </r>
    <r>
      <rPr>
        <sz val="10"/>
        <rFont val="Times New Roman"/>
        <family val="1"/>
      </rPr>
      <t xml:space="preserve">                         </t>
    </r>
    <r>
      <rPr>
        <i/>
        <sz val="10"/>
        <rFont val="Times New Roman"/>
        <family val="1"/>
      </rPr>
      <t xml:space="preserve">    ( Budget in 2006 )</t>
    </r>
  </si>
  <si>
    <t>Milyar TL</t>
  </si>
  <si>
    <t xml:space="preserve"> </t>
  </si>
  <si>
    <t>(TAHSİLAT VE HARCAMA YÖNÜNDEN)</t>
  </si>
  <si>
    <t>Açık</t>
  </si>
  <si>
    <t>Açık(*)</t>
  </si>
  <si>
    <t>PRİM TAHSİLATI (Premium</t>
  </si>
  <si>
    <t>DİĞER GELİRLER (Other Revenues)</t>
  </si>
  <si>
    <t>2006(Tah.)</t>
  </si>
  <si>
    <t>2004(**)</t>
  </si>
  <si>
    <t>2005(***)</t>
  </si>
  <si>
    <r>
      <t xml:space="preserve">YILLIK ORT. DOLAR KURU ÜZERİNDEN FARK (MİLYON $) </t>
    </r>
    <r>
      <rPr>
        <i/>
        <sz val="9"/>
        <rFont val="Times New Roman"/>
        <family val="1"/>
      </rPr>
      <t>(Deficit Based On Annual Average Exchange of Dollars)</t>
    </r>
  </si>
  <si>
    <t>YILLAR</t>
  </si>
  <si>
    <t>BAĞ - KUR</t>
  </si>
  <si>
    <t xml:space="preserve"> EMEKLİ SANDIĞI</t>
  </si>
  <si>
    <t>SSK (*)</t>
  </si>
  <si>
    <t>BÜTÇE HARCAMALARI İÇİNDEKİ ORANI(%)</t>
  </si>
  <si>
    <t>GSMH İÇİNDEKİ ORANI(%)</t>
  </si>
  <si>
    <t>GSMH</t>
  </si>
  <si>
    <t>MİLYAR TL.</t>
  </si>
  <si>
    <t>BÜTÇE HARCA</t>
  </si>
  <si>
    <t>2005(**)</t>
  </si>
  <si>
    <t xml:space="preserve">    (Buget Transfers to SII, institution of insured, self-the pension employedn fund of the republic)</t>
  </si>
  <si>
    <r>
      <t xml:space="preserve">Tablo 9 - SSK,Bağ-Kur ve Emekli Sandığına yapılan bütçe transferleri </t>
    </r>
    <r>
      <rPr>
        <i/>
        <sz val="12"/>
        <rFont val="Times New Roman"/>
        <family val="1"/>
      </rPr>
      <t>(Milyar TL.)</t>
    </r>
  </si>
  <si>
    <r>
      <t xml:space="preserve">Tablo   7 -  Kurumumuzun Gelir ve Giderleri </t>
    </r>
    <r>
      <rPr>
        <i/>
        <sz val="12"/>
        <rFont val="Times New Roman"/>
        <family val="1"/>
      </rPr>
      <t>( Revenue and expenditure items of Sll )</t>
    </r>
  </si>
  <si>
    <r>
      <t xml:space="preserve">Tablo  6 - Sosyal  Sigortalar Kurumu Bütçesi  </t>
    </r>
    <r>
      <rPr>
        <i/>
        <sz val="12"/>
        <rFont val="Times New Roman"/>
        <family val="1"/>
      </rPr>
      <t>( Budget of Insurance Instition )</t>
    </r>
  </si>
  <si>
    <t>OCAK</t>
  </si>
  <si>
    <t>ŞUBAT</t>
  </si>
  <si>
    <t>MART</t>
  </si>
  <si>
    <t>NİSAN</t>
  </si>
  <si>
    <t>MAYIS</t>
  </si>
  <si>
    <t>HAZİRAN</t>
  </si>
  <si>
    <t>TEMMUZ</t>
  </si>
  <si>
    <t>AĞUSTOS</t>
  </si>
  <si>
    <t>EYLÜL</t>
  </si>
  <si>
    <t>EKİM</t>
  </si>
  <si>
    <t>KASIM</t>
  </si>
  <si>
    <t>ARALIK</t>
  </si>
  <si>
    <t>AYLAR</t>
  </si>
  <si>
    <t>PRİM GELİRLERİ</t>
  </si>
  <si>
    <t>EMEKLİ ÖDEMELERİ</t>
  </si>
  <si>
    <t xml:space="preserve">NİSAN </t>
  </si>
  <si>
    <t>T O P L A M</t>
  </si>
  <si>
    <t>Hazine Yardımı</t>
  </si>
  <si>
    <t>Bağ-Kur Adına Al.</t>
  </si>
  <si>
    <t>ARTIŞ ORANI %</t>
  </si>
  <si>
    <t>-</t>
  </si>
  <si>
    <t xml:space="preserve"> (MİLYON $)</t>
  </si>
  <si>
    <t>TAHAKKUK</t>
  </si>
  <si>
    <t>TAHSİLAT</t>
  </si>
  <si>
    <t>HAZİNE YARDIMLARI</t>
  </si>
  <si>
    <t>PRİM GELİRLERİ , EMEKLİ ÖDEMELERİ VE HAZİNE YARDIMLARI</t>
  </si>
  <si>
    <t>Prim Tahsilatı</t>
  </si>
  <si>
    <t>Toplam Hazineden Yapılan Transferler</t>
  </si>
  <si>
    <t xml:space="preserve"> (Premium Incomes , Payments of Pensions and Treasury Transfers ) </t>
  </si>
  <si>
    <t>2005 YILI HAZİNEDEN YAPILAN TRANSFERLER VE PRİM TAHSİLATLARI</t>
  </si>
  <si>
    <t>NOT:1-2003 YILI PRİM TAHSİLATI ÇALIŞMA RAPORU KİTABIMIZDA 12.745,0 TRİLYON TL.,NAKİT AKIM TABLOSUNDA İSE  13.613,0 TRİLYON TL.DİR. 868,0 TRİLYON TL.FARK İLE ,.2004 YILINDA Kİ ÇALIŞMA RAPORU KİTABIMIZDA 16.967,5 TİRİLYON TL..NAKİT AKIM TABLOSUNDA İSE 17.397,0 TRİLYON TL.'DİR 429,5 TRİLYON TL FARK İSE HER İKİ  YILDA YAPILAN TAKSİTLENDİRMEDENDİR.</t>
  </si>
  <si>
    <r>
      <t xml:space="preserve">PRİM GELİRLERİ   </t>
    </r>
    <r>
      <rPr>
        <i/>
        <sz val="10"/>
        <rFont val="Times New Roman"/>
        <family val="1"/>
      </rPr>
      <t xml:space="preserve"> (TRİLYON TL)</t>
    </r>
  </si>
  <si>
    <r>
      <t xml:space="preserve"> </t>
    </r>
    <r>
      <rPr>
        <i/>
        <sz val="9"/>
        <color indexed="8"/>
        <rFont val="Times New Roman"/>
        <family val="1"/>
      </rPr>
      <t xml:space="preserve"> (MİLYAR  TL.)</t>
    </r>
  </si>
  <si>
    <t>TAHSİLAT ORANI %</t>
  </si>
  <si>
    <r>
      <t xml:space="preserve">EMEKLİ ÖDEME TUTARI </t>
    </r>
    <r>
      <rPr>
        <i/>
        <sz val="9"/>
        <rFont val="Times New Roman"/>
        <family val="1"/>
      </rPr>
      <t>( SYZ Dahil ) ( Trilyon TL )</t>
    </r>
  </si>
  <si>
    <t xml:space="preserve">Tablo 8 - Kurumun Ödemeler Dengesinin Yıllar İtibariyle Değişimi </t>
  </si>
  <si>
    <t>Tablo 10 - Prim Gelirleri , Emekli Ödemeleri ve Hazine Yardımları</t>
  </si>
  <si>
    <r>
      <t xml:space="preserve">Tablo 11 - Prim gelirleri ve emekli ödemeleri  </t>
    </r>
    <r>
      <rPr>
        <i/>
        <sz val="12"/>
        <rFont val="Times New Roman"/>
        <family val="1"/>
      </rPr>
      <t xml:space="preserve">(Premium Incomes and Payments of Pensions) </t>
    </r>
  </si>
  <si>
    <t xml:space="preserve"> 2005 YILI </t>
  </si>
  <si>
    <t xml:space="preserve"> 2006 YILI </t>
  </si>
  <si>
    <t>PRİM GELİRLERİNİN EMEKLİ ÖDEMELERİNİ KARŞILAMA ORANI (%)</t>
  </si>
  <si>
    <r>
      <t>NOT</t>
    </r>
    <r>
      <rPr>
        <sz val="11"/>
        <color indexed="8"/>
        <rFont val="Times New Roman"/>
        <family val="1"/>
      </rPr>
      <t xml:space="preserve">:Aylar itibariyle göstermiş olduğumuz  prim gelirleri ve emekli ödemelerimiz nakit akım tablosundan alınmaktadır.Ayrıca, emekli ödemeleri içinde Müşterek emeklilik </t>
    </r>
    <r>
      <rPr>
        <b/>
        <i/>
        <sz val="11"/>
        <color indexed="8"/>
        <rFont val="Times New Roman"/>
        <family val="1"/>
      </rPr>
      <t>(Bağ-Kur,Emekli Sandığı ve Ek 20 madde Sandıkları)</t>
    </r>
    <r>
      <rPr>
        <sz val="11"/>
        <color indexed="8"/>
        <rFont val="Times New Roman"/>
        <family val="1"/>
      </rPr>
      <t xml:space="preserve"> adına yapılan ödemeler de dahildir.</t>
    </r>
  </si>
  <si>
    <t>Tablo 12 - 2005 Yılı Hazineden Alınanlar ve Prim Tahsilatları</t>
  </si>
  <si>
    <t>Milyar TL.</t>
  </si>
  <si>
    <t>Tablo 13 - 2005 Yılı Hazineden Alınanlar ve Prim Tahsilatları</t>
  </si>
  <si>
    <t>(Milyon $)</t>
  </si>
  <si>
    <t>2006 YILI HAZİNEDEN YAPILAN TRANSFERLER VE PRİM TAHSİLATLARI</t>
  </si>
  <si>
    <t>Tablo 14 - 2006 Yılı Hazineden Alınanlar ve Prim Tahsilatları</t>
  </si>
  <si>
    <t>Tablo 15 - 2006 Yılı Hazineden Alınanlar ve Prim Tahsilatları</t>
  </si>
  <si>
    <t>Ek Ödeme</t>
  </si>
  <si>
    <t>Zorunlu Sigortalı</t>
  </si>
  <si>
    <t>Çıraklar</t>
  </si>
  <si>
    <t>Topluluk</t>
  </si>
  <si>
    <t>Tarım</t>
  </si>
  <si>
    <t>Emekli Sayısı</t>
  </si>
  <si>
    <t>Aile Bireyleri</t>
  </si>
  <si>
    <t>Kapsamdaki Toplam Nüfus</t>
  </si>
  <si>
    <t>•AİLE FERDİ</t>
  </si>
  <si>
    <t>UYGULAMA TARİHİ</t>
  </si>
  <si>
    <t>ALT SINIR</t>
  </si>
  <si>
    <t>ÜST SINIR</t>
  </si>
  <si>
    <t>01.04.2001-31.3.2002</t>
  </si>
  <si>
    <t>GÜNLÜK</t>
  </si>
  <si>
    <t>AYLIK</t>
  </si>
  <si>
    <t>01.04.2002-30.6.2002</t>
  </si>
  <si>
    <t>01.07.2002-31.3.2003</t>
  </si>
  <si>
    <t>TAHSİS TÜRLERİ</t>
  </si>
  <si>
    <t>Yaşlılık Aylığı Alanlar</t>
  </si>
  <si>
    <t>Ölüm Aylığı Alanlar</t>
  </si>
  <si>
    <t>Malüllük Aylığı Alanlar</t>
  </si>
  <si>
    <t>İşkazası ve Mes. Hast. Sonucu Ölüm Haksahipleri</t>
  </si>
  <si>
    <t>Compulsory Insured</t>
  </si>
  <si>
    <t>Apprenticies</t>
  </si>
  <si>
    <t>Voluntarily Insured</t>
  </si>
  <si>
    <t>Dependents</t>
  </si>
  <si>
    <t>Cellective Insurance</t>
  </si>
  <si>
    <t>Insured in Agricultural Sector</t>
  </si>
  <si>
    <t>N'of Pensioners</t>
  </si>
  <si>
    <t>Total Population Group Covered by SII</t>
  </si>
  <si>
    <t>Sigortalı</t>
  </si>
  <si>
    <t xml:space="preserve">Total Insured </t>
  </si>
  <si>
    <t>YIL İÇİNDE AYLIK VE GELİR BAĞLANANLARIN SAYISI</t>
  </si>
  <si>
    <t>*</t>
  </si>
  <si>
    <t>İŞYERİNİ BİLDİRMEYEN</t>
  </si>
  <si>
    <t>SİGORTALIYI BİLDİRMEYEN</t>
  </si>
  <si>
    <t>BİLDİRGE VERMEYEN</t>
  </si>
  <si>
    <t>VİZİTE KAĞIDININ VERİLMEMESİ</t>
  </si>
  <si>
    <t>01.04.2003-30.06.2003</t>
  </si>
  <si>
    <t xml:space="preserve">• TARIM SİG. SAYISI                 </t>
  </si>
  <si>
    <t>2001YILI</t>
  </si>
  <si>
    <t>01.04.2002-30.06.2002</t>
  </si>
  <si>
    <t>01.07.2002-31.03.2003</t>
  </si>
  <si>
    <t>Sürekli İşgör.Geliri Al.</t>
  </si>
  <si>
    <t>01.01.2000 -31.03.2000</t>
  </si>
  <si>
    <t xml:space="preserve">4447 sayılı kanun öncesi </t>
  </si>
  <si>
    <t>•BRÜT</t>
  </si>
  <si>
    <t>•NET</t>
  </si>
  <si>
    <t>•AYLIĞI</t>
  </si>
  <si>
    <t>ASGARİ ÜCRET-ASGARİ EMEKLİ AYLIĞI</t>
  </si>
  <si>
    <t>UYGULAMA TARİHLERİ</t>
  </si>
  <si>
    <t>01.04.2000-31.07.2000</t>
  </si>
  <si>
    <t>01.08.2000-31.3.2001</t>
  </si>
  <si>
    <t>2002 YILI</t>
  </si>
  <si>
    <t>Bilanço esasına göre defter tutmak zorunda olanlar</t>
  </si>
  <si>
    <t>Diğer defter tutmak zorunda olanlar</t>
  </si>
  <si>
    <t>Defter tutmakla yükümlü olmayanlar</t>
  </si>
  <si>
    <t>Sigortalıyı Bildirmeyen</t>
  </si>
  <si>
    <t>Sigortalıyı Bildirmeyen(Çalışma izninin olmaması durumunda)</t>
  </si>
  <si>
    <t>Asıl nitelikte olması halinde belgede kayıtlı sigortalı başına</t>
  </si>
  <si>
    <t>Ek belge niteliğinde olması halinde sigortalı sayısına bakılmaksızın</t>
  </si>
  <si>
    <t>Hiç belge vermeyenlere ise sigortalı sayısına bakılmaksızın her ay için</t>
  </si>
  <si>
    <t xml:space="preserve">BELGE İBRAZ ETMEYEN </t>
  </si>
  <si>
    <t>Bilanço esasına göre defter tutmakla yükümlü iseler</t>
  </si>
  <si>
    <t>Diğer defter tutmakla yükümlü iseler</t>
  </si>
  <si>
    <t>Diğer defter tutmakla yükümlü değil iseler</t>
  </si>
  <si>
    <t xml:space="preserve">BELGENİN İŞÇİLER TARAFINDAN DA GÖRÜLEBİLECEK BİR YERE ASILMAMASI HALİNDE </t>
  </si>
  <si>
    <t xml:space="preserve">ASGARİ ÜCRET  :  </t>
  </si>
  <si>
    <t>Asgari Ücretin 3 katı</t>
  </si>
  <si>
    <t>Asgari Ücretin 2 katı</t>
  </si>
  <si>
    <t>Asgari Ücret  Tutarında</t>
  </si>
  <si>
    <t>Asgari Ücretin 1/5  Tutarında</t>
  </si>
  <si>
    <t>Asgari Ücretin 1/8  Tutarında</t>
  </si>
  <si>
    <t>Asgari Ücretin 12 katı</t>
  </si>
  <si>
    <t>Asgari Ücretin 6 katı</t>
  </si>
  <si>
    <t>01.07.2003-31.12.2003</t>
  </si>
  <si>
    <t xml:space="preserve"> TOPLAM İÇİNDEKİ ORANI %</t>
  </si>
  <si>
    <t>2003 YILI</t>
  </si>
  <si>
    <t>01.01.2004-30.06.2004</t>
  </si>
  <si>
    <t>01.07.2004-31.12.2004</t>
  </si>
  <si>
    <t xml:space="preserve"> İBRAZ EDİLEN BELGELERİN YÖNETMELİKLE BELİRLENEN USUL VE ESASLARA  UYGUN OLMAMASI HALİNDE </t>
  </si>
  <si>
    <t>Asgari Ücretin 1/2 katı</t>
  </si>
  <si>
    <t xml:space="preserve">veya kazançları Kuruma bildirilmediği veya eksik bildirildiği sigortalılarla ilgili </t>
  </si>
  <si>
    <t>düzenlenip düzenlenmediğine bakılmaksızın</t>
  </si>
  <si>
    <t xml:space="preserve">olması halinde,belgenin asıl veya ek nitelikte olup olmadığına, işverence </t>
  </si>
  <si>
    <t xml:space="preserve">Sigorta Müfettişi Tarafından veya Serbest Muhasebeci Mali Müşavir ve </t>
  </si>
  <si>
    <t xml:space="preserve">Yeminli Mali Müşavirlerce Düzenlenen Raporlara istinaden Kuruma </t>
  </si>
  <si>
    <t>bildirilmediği tespit edilen eksik işçilik tutarının mal edildiği adaylardan dolayı</t>
  </si>
  <si>
    <t xml:space="preserve">Belgenin Mahkeme Kararı ile veya Denetim Elemanlarınca yapılan tespitler </t>
  </si>
  <si>
    <t>sonucunda ya da Kamu Kurum ve Kuruluşları tarafından düzenlenen belgelerden hizmetleri</t>
  </si>
  <si>
    <t>(488,70 YTL.)</t>
  </si>
  <si>
    <t>01.01.2005-31.12.2005</t>
  </si>
  <si>
    <t>YTL.</t>
  </si>
  <si>
    <t>(16,29 YTL.)</t>
  </si>
  <si>
    <t>(105,89 YTL.)</t>
  </si>
  <si>
    <t>(3.176,70 YTL.)</t>
  </si>
  <si>
    <t>ASGARİ ÜCRET</t>
  </si>
  <si>
    <t>01.07.2000-31.12.2000</t>
  </si>
  <si>
    <t>01.01.2001-30.06.2001</t>
  </si>
  <si>
    <t>01.01.2000 -30.06.2000</t>
  </si>
  <si>
    <t>01.07.2001-31.07.2001</t>
  </si>
  <si>
    <t>01.08.2001-31.12.2001</t>
  </si>
  <si>
    <t>01.01.2002-30.06.2002</t>
  </si>
  <si>
    <t>01.07.2002-31.12.2002</t>
  </si>
  <si>
    <t>01.01.2003-31.12.2003</t>
  </si>
  <si>
    <t>Malullük Aylığı Al.</t>
  </si>
  <si>
    <t>Yaşlılık Aylığı Al.</t>
  </si>
  <si>
    <t>2004 YILI</t>
  </si>
  <si>
    <t>531.000.000 TL.</t>
  </si>
  <si>
    <t>(380,46 YTL.)</t>
  </si>
  <si>
    <t>01.01.2006-31.12.2006</t>
  </si>
  <si>
    <t>(17,70 YTL.)</t>
  </si>
  <si>
    <t>(531,00 YTL.)</t>
  </si>
  <si>
    <t>(3.451,50 YTL.)</t>
  </si>
  <si>
    <t>2005(Aralık)</t>
  </si>
  <si>
    <t>(481,44 YTL.)</t>
  </si>
  <si>
    <t>(115,05 YTL.)</t>
  </si>
  <si>
    <t xml:space="preserve">AYLAR </t>
  </si>
  <si>
    <t xml:space="preserve">             2000   OCAK </t>
  </si>
  <si>
    <t xml:space="preserve">                        ARALIK </t>
  </si>
  <si>
    <t xml:space="preserve">                       ARALIK</t>
  </si>
  <si>
    <t>2002 OCAK</t>
  </si>
  <si>
    <t xml:space="preserve">      ŞUBAT</t>
  </si>
  <si>
    <t xml:space="preserve">      MART</t>
  </si>
  <si>
    <t xml:space="preserve">      NİSAN</t>
  </si>
  <si>
    <t xml:space="preserve">      MAYIS</t>
  </si>
  <si>
    <t xml:space="preserve">           HAZİRAN</t>
  </si>
  <si>
    <t xml:space="preserve">           TEMMUZ</t>
  </si>
  <si>
    <t xml:space="preserve">            AĞUSTOS</t>
  </si>
  <si>
    <t xml:space="preserve">      EYLÜL</t>
  </si>
  <si>
    <t xml:space="preserve">   EKİM</t>
  </si>
  <si>
    <t xml:space="preserve">     KASIM</t>
  </si>
  <si>
    <t xml:space="preserve">       ARALIK</t>
  </si>
  <si>
    <t>POLİKLİNİK SAYISI</t>
  </si>
  <si>
    <t>YATAN HASTA SAYISI</t>
  </si>
  <si>
    <t>YATAK- GÜN SAYISI</t>
  </si>
  <si>
    <t>AMELİYAT SAYISI</t>
  </si>
  <si>
    <t>DOĞUM SAYISI</t>
  </si>
  <si>
    <t>REÇETE SAYISI</t>
  </si>
  <si>
    <t>TABELA SAYISI</t>
  </si>
  <si>
    <t>DIŞARIDAN SATIN ALINAN HİZMET</t>
  </si>
  <si>
    <t>DIŞARIDAN SATIN ALINAN HİZMETİN  TOPLAM İÇİNDEKİ ORANI(%)</t>
  </si>
  <si>
    <t>İLAÇ GİDERLERİ</t>
  </si>
  <si>
    <t>748.699,5</t>
  </si>
  <si>
    <t>Toplam</t>
  </si>
  <si>
    <t>2003 OCAK</t>
  </si>
  <si>
    <t>(Sosyal Destek Ödemesi)</t>
  </si>
  <si>
    <t>KURUM ECZANELERİ</t>
  </si>
  <si>
    <t>ANLAŞMALI ECZANELER</t>
  </si>
  <si>
    <t>(MİLYAR TL)</t>
  </si>
  <si>
    <t>İLAÇ HARCAMASI</t>
  </si>
  <si>
    <t>İLAÇ HARCAMASI ARTIŞ ORANI (%)</t>
  </si>
  <si>
    <t>TOPLAM SAĞLIK HARCAMASI(*)</t>
  </si>
  <si>
    <t>KURUMUN SAĞLIK TESİSLERİ GİDERLERİ</t>
  </si>
  <si>
    <t>KURUM SAĞLIK TESİSLERİ GİDERLERİNİN TOPLAM İÇİNDEKİ ORANI(%)</t>
  </si>
  <si>
    <t xml:space="preserve">    2003  HAZİRAN</t>
  </si>
  <si>
    <t>SAĞLIK HARCAMALARI İÇİNDEKİ ORANI (%)</t>
  </si>
  <si>
    <t xml:space="preserve">    2003  TEMMUZ</t>
  </si>
  <si>
    <t xml:space="preserve">    2003  AĞUSTOS</t>
  </si>
  <si>
    <t xml:space="preserve">    2003  EYLÜL</t>
  </si>
  <si>
    <t xml:space="preserve">    2003  EKİM</t>
  </si>
  <si>
    <t>İLAÇ KUTU SAYISI(*)</t>
  </si>
  <si>
    <t>İLAÇ ÇEŞİDİ SAYISI(**)</t>
  </si>
  <si>
    <t>(*) Ayakta tedavi edilen hastalara verilen ilaç sayısını göstermektedir.</t>
  </si>
  <si>
    <t>(**) Yatarak tedavi edilen hastalara verilen ilaç sayısını göstermektedir.</t>
  </si>
  <si>
    <t xml:space="preserve">    2003  KASIM</t>
  </si>
  <si>
    <t xml:space="preserve">    2003  ARALIK</t>
  </si>
  <si>
    <t xml:space="preserve">2004 OCAK </t>
  </si>
  <si>
    <t>Artış Oranı(%)</t>
  </si>
  <si>
    <t>TÜFE  (% )</t>
  </si>
  <si>
    <t>(*)İlaç giderleri dahildir.</t>
  </si>
  <si>
    <t xml:space="preserve"> ARALIK </t>
  </si>
  <si>
    <t>(**)İlaç giderleri dahildir.</t>
  </si>
  <si>
    <t>TOPLAM(**)</t>
  </si>
  <si>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yapılacaktır. </t>
  </si>
  <si>
    <t xml:space="preserve">2005 OCAK </t>
  </si>
  <si>
    <t>ARALIK (*)</t>
  </si>
  <si>
    <t>2005(*)</t>
  </si>
  <si>
    <t>2006(Tahmini)</t>
  </si>
  <si>
    <t>2006 OCAK -HAZİRAN(**)</t>
  </si>
  <si>
    <t>(**) Emeklilerimize %3 lük ocak ayı artışı ile birlikte  %4 lük de vergi iade artışı verilmiştir.</t>
  </si>
  <si>
    <r>
      <t>ASGARİ AYLIK</t>
    </r>
    <r>
      <rPr>
        <sz val="10"/>
        <rFont val="Times New Roman"/>
        <family val="1"/>
      </rPr>
      <t xml:space="preserve"> </t>
    </r>
  </si>
  <si>
    <r>
      <t>AZAMİ AYLIK</t>
    </r>
    <r>
      <rPr>
        <sz val="10"/>
        <rFont val="Times New Roman"/>
        <family val="1"/>
      </rPr>
      <t xml:space="preserve"> </t>
    </r>
  </si>
  <si>
    <r>
      <t>Toplam artış oranı</t>
    </r>
    <r>
      <rPr>
        <sz val="10"/>
        <rFont val="Times New Roman"/>
        <family val="1"/>
      </rPr>
      <t xml:space="preserve"> </t>
    </r>
  </si>
  <si>
    <r>
      <t xml:space="preserve">             2001   OCAK</t>
    </r>
    <r>
      <rPr>
        <sz val="10"/>
        <rFont val="Times New Roman"/>
        <family val="1"/>
      </rPr>
      <t xml:space="preserve"> </t>
    </r>
  </si>
  <si>
    <r>
      <t xml:space="preserve">Tablo 23 - Emekli Aylık Seviyeleri </t>
    </r>
    <r>
      <rPr>
        <i/>
        <sz val="12"/>
        <rFont val="Times New Roman"/>
        <family val="1"/>
      </rPr>
      <t>(TL.) (SYZ Dahil)</t>
    </r>
  </si>
  <si>
    <t>Artış Oranı</t>
  </si>
  <si>
    <t>TÜFE</t>
  </si>
  <si>
    <t>Tablo 24 - Kurumun Sağlık Giderleri</t>
  </si>
  <si>
    <t>Tablo 25 - Sağlık Harcamaları</t>
  </si>
  <si>
    <t>Tablo 26 - Tedavi Faaliyetleri</t>
  </si>
  <si>
    <t xml:space="preserve">2004 YILI SEKTÖRLER İTİBARİYLE YATIRIM PROGRAMI                             </t>
  </si>
  <si>
    <t>(ARALIK AYI İTİBARİYLE ) (Investment Program by the Sector in 2004)</t>
  </si>
  <si>
    <t>(Milyar TL)</t>
  </si>
  <si>
    <t>SEKTÖR</t>
  </si>
  <si>
    <t>İNŞAAT</t>
  </si>
  <si>
    <t>MAKİNA TEÇHİZAT  (Tıbbi Cihaz+Bilgisayar)</t>
  </si>
  <si>
    <t>TAŞIT ALIMI</t>
  </si>
  <si>
    <t>HARCAMA</t>
  </si>
  <si>
    <t>ÖDENEK</t>
  </si>
  <si>
    <t>SAĞLIK</t>
  </si>
  <si>
    <t>85.684(*)</t>
  </si>
  <si>
    <t>DKH (TİCARET)</t>
  </si>
  <si>
    <t>15.545(**)</t>
  </si>
  <si>
    <t xml:space="preserve">2005 YILI SEKTÖRLER İTİBARİYLE YATIRIM PROGRAMI                             </t>
  </si>
  <si>
    <t xml:space="preserve"> (Investment Program by the Sector in 2005)</t>
  </si>
  <si>
    <t xml:space="preserve"> (2005 Aralık   sonu  itibariyle)</t>
  </si>
  <si>
    <t>BİLGİSAYAR ALIMI</t>
  </si>
  <si>
    <t>HARCAMA(*)</t>
  </si>
  <si>
    <t>(*) IV.Dönem (Yıl Sonu Geçici )gerçekleşme durumudur.</t>
  </si>
  <si>
    <t xml:space="preserve">2006 YILI SEKTÖRLER İTİBARİYLE YATIRIM PROGRAMI                             </t>
  </si>
  <si>
    <t xml:space="preserve"> (Investment Program by the Sector in 2006)</t>
  </si>
  <si>
    <t>(Bin YTL)</t>
  </si>
  <si>
    <t>Tablo 27 - 2004 Yılı Sektörler İtibariyle Yatırım Programı</t>
  </si>
  <si>
    <t>Tablo 28 - 2005 Yılı Sektörler İtibariyle Yatırım Programı</t>
  </si>
  <si>
    <t>(*) - Mevcut ödeneğine Kurum gelirlerinden ayrılan %10'luk kaynaktan Sağlık Sektörü Bilgisayar Alımı projesine  18.084 Milyar TL Bakan onayı ile ek ödenek tahsili yapılmıştır.</t>
  </si>
  <si>
    <t xml:space="preserve">   -DPT Müsteşarlığının 21.05.2004 tarih ve 298/861 sayılı yazıları ile sağlık sektörü Makine Teçhizat Alımı  projesinin ödeneğinden 4.096 Milyar TL  Sağlık Sektörü Bilgisayar alımı projesine aktarılmıştır.</t>
  </si>
  <si>
    <t>(**)- Mevcut ödeneğine Kurum gelirlerinden ayrılan %10'luk kaynaktan Ticaret Sektörü Bilgisayar Alımı projesine  9.045 Milyar TL Bakan onayı ile ek ödenek tahsisi yapılmıştır.</t>
  </si>
  <si>
    <t>Tablo 29 - 2006 Yılı Sektörler İtibariyle Yatırım Programı</t>
  </si>
  <si>
    <r>
      <t xml:space="preserve">NOT:Yüksek Planlama Kurulunun 26.04.2005 tarih, 2005/16 ve Bakanlar Kurulunun 05.05.2005 tarih, 2005/8947 sayılı kararları ile  5283 sayılı Kanun uyarınca '' </t>
    </r>
    <r>
      <rPr>
        <b/>
        <sz val="10"/>
        <rFont val="Times New Roman"/>
        <family val="1"/>
      </rPr>
      <t>Bazı Kamu Kurum ve Kuruluşlarına ait Sağlık Birimlerinin Sağlık Bakanlığına Devredilmesine Dair</t>
    </r>
    <r>
      <rPr>
        <sz val="9"/>
        <rFont val="Times New Roman"/>
        <family val="1"/>
      </rPr>
      <t>'' Kanun çerçevesinde Sağlık Projeleri Sağlık Bakanlığına devredilmiştir. Yatırım Programı ile verilen ödenek 10.000.000.YTL olup, DPT Müsteşarlığınca inşaat projeleri için 12.220.000 YTL ve Bilgisayar Alımı için 5.000.000 YTL.olmak üzere  toplam 17.220.000.YTL. ek ödenek verilmiştir.</t>
    </r>
  </si>
  <si>
    <t xml:space="preserve">(*) - Kurumumuz 2006 Yılı Yatırm Programının uygulanması, Koordinasyonu ve izlenmesine Dair"2005/9486 sayılı Bakanalra Kurulu Kararının eki olarak 7 Ocak 2006 gün ve 26046 sayılı Resmi Gazetede yayımlanarak yürürlüğe girmiştir. </t>
  </si>
  <si>
    <t xml:space="preserve">SİGORTA TEŞKİLATI </t>
  </si>
  <si>
    <t xml:space="preserve">DİĞER ÜNİTELER </t>
  </si>
  <si>
    <r>
      <t xml:space="preserve">Tablo 1 - Taşra Teşkilatı </t>
    </r>
    <r>
      <rPr>
        <i/>
        <sz val="12"/>
        <rFont val="Times New Roman"/>
        <family val="1"/>
      </rPr>
      <t>(Provincial Organizations)</t>
    </r>
  </si>
  <si>
    <r>
      <t xml:space="preserve">•      </t>
    </r>
    <r>
      <rPr>
        <b/>
        <sz val="12"/>
        <color indexed="8"/>
        <rFont val="Times New Roman"/>
        <family val="1"/>
      </rPr>
      <t xml:space="preserve">81       SİGORTA İL MÜDÜRLÜĞÜ </t>
    </r>
  </si>
  <si>
    <r>
      <t xml:space="preserve">•      </t>
    </r>
    <r>
      <rPr>
        <b/>
        <sz val="12"/>
        <color indexed="8"/>
        <rFont val="Times New Roman"/>
        <family val="1"/>
      </rPr>
      <t xml:space="preserve">19       SİGORTA MÜDÜRLÜĞÜ </t>
    </r>
    <r>
      <rPr>
        <i/>
        <sz val="12"/>
        <color indexed="8"/>
        <rFont val="Times New Roman"/>
        <family val="1"/>
      </rPr>
      <t>(Henüz faaliyete geçmeyen izmir sig.müd.dahil değildir.)</t>
    </r>
  </si>
  <si>
    <r>
      <t xml:space="preserve">•       </t>
    </r>
    <r>
      <rPr>
        <b/>
        <sz val="12"/>
        <color indexed="8"/>
        <rFont val="Times New Roman"/>
        <family val="1"/>
      </rPr>
      <t>15       SİGORTA ÖDEME BÜROSU</t>
    </r>
  </si>
  <si>
    <r>
      <t xml:space="preserve">•        </t>
    </r>
    <r>
      <rPr>
        <b/>
        <sz val="12"/>
        <color indexed="8"/>
        <rFont val="Times New Roman"/>
        <family val="1"/>
      </rPr>
      <t>16</t>
    </r>
    <r>
      <rPr>
        <sz val="12"/>
        <color indexed="8"/>
        <rFont val="Times New Roman"/>
        <family val="1"/>
      </rPr>
      <t xml:space="preserve">      </t>
    </r>
    <r>
      <rPr>
        <b/>
        <sz val="12"/>
        <color indexed="8"/>
        <rFont val="Times New Roman"/>
        <family val="1"/>
      </rPr>
      <t xml:space="preserve">SAĞLIK İŞLERİ İL MÜDÜRLÜĞÜ </t>
    </r>
  </si>
  <si>
    <t>•          1       İLAÇ VE TIBBİ MALZEME SANAYİİ MÜESSESESİ</t>
  </si>
  <si>
    <r>
      <t xml:space="preserve">•          </t>
    </r>
    <r>
      <rPr>
        <b/>
        <sz val="12"/>
        <color indexed="8"/>
        <rFont val="Times New Roman"/>
        <family val="1"/>
      </rPr>
      <t xml:space="preserve">1      HUZUREVİ (47 YATAKLI) </t>
    </r>
  </si>
  <si>
    <r>
      <t xml:space="preserve">•           </t>
    </r>
    <r>
      <rPr>
        <b/>
        <sz val="12"/>
        <color indexed="8"/>
        <rFont val="Times New Roman"/>
        <family val="1"/>
      </rPr>
      <t xml:space="preserve">6     KREŞ VE GÜNDÜZ BAKIMEVİ </t>
    </r>
  </si>
  <si>
    <t>SOSYAL SİGORTALAR KURUMU ORGANİZASYON YAPISI</t>
  </si>
  <si>
    <r>
      <t>GENEL KURUL</t>
    </r>
    <r>
      <rPr>
        <b/>
        <sz val="7"/>
        <color indexed="60"/>
        <rFont val="Times New Roman"/>
        <family val="1"/>
      </rPr>
      <t xml:space="preserve"> </t>
    </r>
  </si>
  <si>
    <t>YÖNETİM KURULU</t>
  </si>
  <si>
    <r>
      <t>BAŞKAN</t>
    </r>
    <r>
      <rPr>
        <b/>
        <sz val="7"/>
        <color indexed="60"/>
        <rFont val="Times New Roman"/>
        <family val="1"/>
      </rPr>
      <t xml:space="preserve"> </t>
    </r>
  </si>
  <si>
    <t>FİNANS., AKTÜERYA VE PLANLAMA (D)</t>
  </si>
  <si>
    <t>TEFTİŞ KURULU (D)</t>
  </si>
  <si>
    <t>BİLGİ İŞLEM (D)</t>
  </si>
  <si>
    <t>HUKUK (D)</t>
  </si>
  <si>
    <t>MUHASEBE VE MALİ İŞLER (D)</t>
  </si>
  <si>
    <r>
      <t>SİGORTA TEFTİŞ</t>
    </r>
    <r>
      <rPr>
        <b/>
        <sz val="7"/>
        <color indexed="60"/>
        <rFont val="Times New Roman"/>
        <family val="1"/>
      </rPr>
      <t xml:space="preserve"> </t>
    </r>
    <r>
      <rPr>
        <sz val="7"/>
        <rFont val="Times New Roman"/>
        <family val="1"/>
      </rPr>
      <t>(D)</t>
    </r>
  </si>
  <si>
    <r>
      <t>SAVUNMA UZMANLIĞI</t>
    </r>
    <r>
      <rPr>
        <b/>
        <sz val="7"/>
        <color indexed="60"/>
        <rFont val="Times New Roman"/>
        <family val="1"/>
      </rPr>
      <t xml:space="preserve"> </t>
    </r>
    <r>
      <rPr>
        <sz val="7"/>
        <rFont val="Times New Roman"/>
        <family val="1"/>
      </rPr>
      <t>(D)</t>
    </r>
  </si>
  <si>
    <t xml:space="preserve">SSK SİGORTA İŞLERİ </t>
  </si>
  <si>
    <t xml:space="preserve">SSK SAĞLIK İŞLERİ </t>
  </si>
  <si>
    <t>GENEL MÜDÜRLÜĞÜ</t>
  </si>
  <si>
    <r>
      <t>PERSONEL VE EĞİTİM (Y)</t>
    </r>
    <r>
      <rPr>
        <b/>
        <sz val="7"/>
        <color indexed="60"/>
        <rFont val="Times New Roman"/>
        <family val="1"/>
      </rPr>
      <t xml:space="preserve"> </t>
    </r>
  </si>
  <si>
    <t>GENEL MÜDÜR</t>
  </si>
  <si>
    <t xml:space="preserve">PERSONEL EĞİTİM </t>
  </si>
  <si>
    <t>VE SOSYAL İŞLER (Y)</t>
  </si>
  <si>
    <t xml:space="preserve">GENEL MÜDÜR </t>
  </si>
  <si>
    <r>
      <t>YARDIMCISI</t>
    </r>
    <r>
      <rPr>
        <b/>
        <sz val="7"/>
        <color indexed="60"/>
        <rFont val="Times New Roman"/>
        <family val="1"/>
      </rPr>
      <t xml:space="preserve"> </t>
    </r>
  </si>
  <si>
    <t xml:space="preserve">SİGORTA PRİMLERİ (A) </t>
  </si>
  <si>
    <r>
      <t>DESTEK HİZMETLERİ  (Y)</t>
    </r>
    <r>
      <rPr>
        <b/>
        <sz val="7"/>
        <color indexed="60"/>
        <rFont val="Times New Roman"/>
        <family val="1"/>
      </rPr>
      <t xml:space="preserve"> </t>
    </r>
  </si>
  <si>
    <t>EMLAK (Y)</t>
  </si>
  <si>
    <t xml:space="preserve">TEDAVİ HİZ. </t>
  </si>
  <si>
    <t>İLAÇ VE ECZACILIK (A)</t>
  </si>
  <si>
    <r>
      <t xml:space="preserve"> </t>
    </r>
    <r>
      <rPr>
        <b/>
        <sz val="7"/>
        <color indexed="60"/>
        <rFont val="Times New Roman"/>
        <family val="1"/>
      </rPr>
      <t xml:space="preserve"> </t>
    </r>
  </si>
  <si>
    <t>İNŞAAT (Y)</t>
  </si>
  <si>
    <t xml:space="preserve">VE MALÜLİYET  (A) </t>
  </si>
  <si>
    <t>TAHSİSLER  (A)</t>
  </si>
  <si>
    <t xml:space="preserve">  KISA VADELİ  </t>
  </si>
  <si>
    <t>MALZEME SATINALMA</t>
  </si>
  <si>
    <r>
      <t>SİGORTALAR (A)</t>
    </r>
    <r>
      <rPr>
        <b/>
        <sz val="7"/>
        <color indexed="60"/>
        <rFont val="Times New Roman"/>
        <family val="1"/>
      </rPr>
      <t xml:space="preserve"> </t>
    </r>
  </si>
  <si>
    <r>
      <t xml:space="preserve"> VE İDARİ İŞLER (Y)</t>
    </r>
    <r>
      <rPr>
        <b/>
        <sz val="7"/>
        <color indexed="60"/>
        <rFont val="Times New Roman"/>
        <family val="1"/>
      </rPr>
      <t xml:space="preserve"> </t>
    </r>
  </si>
  <si>
    <t xml:space="preserve">YURTDIŞI İŞÇİ </t>
  </si>
  <si>
    <t xml:space="preserve">SAĞLIK HİZ. SATIN </t>
  </si>
  <si>
    <t>HİZMETLERİ (A)</t>
  </si>
  <si>
    <r>
      <t xml:space="preserve"> ALMA (A)</t>
    </r>
    <r>
      <rPr>
        <b/>
        <sz val="7"/>
        <color indexed="60"/>
        <rFont val="Times New Roman"/>
        <family val="1"/>
      </rPr>
      <t xml:space="preserve"> </t>
    </r>
  </si>
  <si>
    <t>TAŞRA TEŞKİLATI</t>
  </si>
  <si>
    <r>
      <t>(A)</t>
    </r>
    <r>
      <rPr>
        <sz val="10"/>
        <rFont val="Times New Roman"/>
        <family val="1"/>
      </rPr>
      <t xml:space="preserve"> Ana Hizmet Birimi</t>
    </r>
  </si>
  <si>
    <r>
      <t>(D)</t>
    </r>
    <r>
      <rPr>
        <sz val="10"/>
        <rFont val="Times New Roman"/>
        <family val="1"/>
      </rPr>
      <t xml:space="preserve"> Denetim, Danışma veya Destek  Hizmet Birimi</t>
    </r>
  </si>
  <si>
    <r>
      <t>(Y)</t>
    </r>
    <r>
      <rPr>
        <sz val="10"/>
        <rFont val="Times New Roman"/>
        <family val="1"/>
      </rPr>
      <t xml:space="preserve"> Yardımcı Hizmet Birimi</t>
    </r>
  </si>
  <si>
    <t>İÇİNDEKİLER</t>
  </si>
  <si>
    <t>Sayfa No</t>
  </si>
  <si>
    <t>Tablo No</t>
  </si>
  <si>
    <t>Organizasyon Şeması</t>
  </si>
  <si>
    <t xml:space="preserve">Taşra Teşkilatı </t>
  </si>
  <si>
    <t>(1)</t>
  </si>
  <si>
    <t>(2)</t>
  </si>
  <si>
    <t>(3)</t>
  </si>
  <si>
    <t>(4)</t>
  </si>
  <si>
    <t>(5)</t>
  </si>
  <si>
    <t>Sosyal Sigortalar Kurumu  Bütçesi</t>
  </si>
  <si>
    <t>(6),(7)</t>
  </si>
  <si>
    <t>(8)</t>
  </si>
  <si>
    <t>(9)</t>
  </si>
  <si>
    <t>(10)</t>
  </si>
  <si>
    <t>(11)</t>
  </si>
  <si>
    <t>SSK Kapsamındaki Nüfus / Aktif- Pasif Oranı</t>
  </si>
  <si>
    <t>Asgari Ücret ve Tarım Sigortalıları</t>
  </si>
  <si>
    <t>İdari Para Cezaları</t>
  </si>
  <si>
    <t>Kurumumuzdan Aylık ve Gelir Alanların Sayısı</t>
  </si>
  <si>
    <t>(25)</t>
  </si>
  <si>
    <t xml:space="preserve">2005 ve 2006 Yılları Sektörler İtibariyle Yatırım Programı </t>
  </si>
  <si>
    <r>
      <t xml:space="preserve">SSK,Bağ-Kur ve Emekli Sandığına Yapılan Bütçe Transferleri </t>
    </r>
    <r>
      <rPr>
        <i/>
        <sz val="10"/>
        <color indexed="8"/>
        <rFont val="Times New Roman"/>
        <family val="1"/>
      </rPr>
      <t>(Milyar TL.)</t>
    </r>
  </si>
  <si>
    <r>
      <t>Yıllar İtibariyle Prim Gelirleri, Emekli Ödemeleri ve Hazine Yardımları</t>
    </r>
    <r>
      <rPr>
        <i/>
        <sz val="10"/>
        <color indexed="8"/>
        <rFont val="Times New Roman"/>
        <family val="1"/>
      </rPr>
      <t xml:space="preserve"> (Trilyon TL.)</t>
    </r>
  </si>
  <si>
    <r>
      <t xml:space="preserve">Aylar İtibariyle2005-2006 Yıllarına Ait Prim Gelirleri ve Emekli Ödemeleri </t>
    </r>
    <r>
      <rPr>
        <i/>
        <sz val="10"/>
        <color indexed="8"/>
        <rFont val="Times New Roman"/>
        <family val="1"/>
      </rPr>
      <t xml:space="preserve"> (Milyar TL.)</t>
    </r>
  </si>
  <si>
    <r>
      <t xml:space="preserve">Aylar İtibariyle 2005 Yılında Hazineden Yapılan Transferler ve Prim Tahsilatları    </t>
    </r>
    <r>
      <rPr>
        <i/>
        <sz val="10"/>
        <color indexed="8"/>
        <rFont val="Times New Roman"/>
        <family val="1"/>
      </rPr>
      <t xml:space="preserve">                                                                    (Milyar TL.)(Milyon $)</t>
    </r>
  </si>
  <si>
    <r>
      <t xml:space="preserve">Aylar İtibariyle 2006 Yılında Hazineden Yapılan Transferler ve Prim Tahsilatları                                                            </t>
    </r>
    <r>
      <rPr>
        <i/>
        <sz val="10"/>
        <color indexed="8"/>
        <rFont val="Times New Roman"/>
        <family val="1"/>
      </rPr>
      <t xml:space="preserve">  (Milyar TL.)(Milyon $)</t>
    </r>
  </si>
  <si>
    <r>
      <t xml:space="preserve">Emekli Aylık Seviyeleri </t>
    </r>
    <r>
      <rPr>
        <i/>
        <sz val="10"/>
        <color indexed="8"/>
        <rFont val="Times New Roman"/>
        <family val="1"/>
      </rPr>
      <t xml:space="preserve"> (TL.) (SYZ Dahil)</t>
    </r>
  </si>
  <si>
    <r>
      <t xml:space="preserve">Prime Esas Kazanç Alt ve Üst Sınırları </t>
    </r>
    <r>
      <rPr>
        <i/>
        <sz val="10"/>
        <color indexed="8"/>
        <rFont val="Times New Roman"/>
        <family val="1"/>
      </rPr>
      <t xml:space="preserve"> (TL.)</t>
    </r>
  </si>
  <si>
    <r>
      <t xml:space="preserve">Kurumun Sağlık Giderleri </t>
    </r>
    <r>
      <rPr>
        <i/>
        <sz val="10"/>
        <color indexed="8"/>
        <rFont val="Times New Roman"/>
        <family val="1"/>
      </rPr>
      <t xml:space="preserve"> (Milyar TL.)</t>
    </r>
  </si>
  <si>
    <r>
      <t xml:space="preserve">2004 Yılı Sektörler İtibariyle Yatırım Harcamaları  </t>
    </r>
    <r>
      <rPr>
        <i/>
        <sz val="10"/>
        <color indexed="8"/>
        <rFont val="Times New Roman"/>
        <family val="1"/>
      </rPr>
      <t>(Aralık Sonu)</t>
    </r>
    <r>
      <rPr>
        <b/>
        <sz val="10"/>
        <color indexed="8"/>
        <rFont val="Times New Roman"/>
        <family val="1"/>
      </rPr>
      <t xml:space="preserve"> </t>
    </r>
  </si>
  <si>
    <r>
      <t xml:space="preserve">Kurumun Ödemeler Dengesinin Yıllar İtibariyle Değişimi </t>
    </r>
    <r>
      <rPr>
        <i/>
        <sz val="10"/>
        <color indexed="8"/>
        <rFont val="Times New Roman"/>
        <family val="1"/>
      </rPr>
      <t>(Tahsilat ve Harcama Yönünden) (Milyar TL.)</t>
    </r>
  </si>
  <si>
    <t>Tedavi Faaliyetleri</t>
  </si>
  <si>
    <r>
      <t xml:space="preserve">Sağlık Harcamaları </t>
    </r>
    <r>
      <rPr>
        <i/>
        <sz val="10"/>
        <color indexed="8"/>
        <rFont val="Times New Roman"/>
        <family val="1"/>
      </rPr>
      <t xml:space="preserve"> (Milyar TL.) </t>
    </r>
  </si>
  <si>
    <t>(12),(13)</t>
  </si>
  <si>
    <t>(14),(15)</t>
  </si>
  <si>
    <t>(16)</t>
  </si>
  <si>
    <t>(17),(18)</t>
  </si>
  <si>
    <t>(19)</t>
  </si>
  <si>
    <t>(20)</t>
  </si>
  <si>
    <t>(21),(22)</t>
  </si>
  <si>
    <t>(23)</t>
  </si>
  <si>
    <t>(24)</t>
  </si>
  <si>
    <t>(26)</t>
  </si>
  <si>
    <r>
      <t xml:space="preserve">PRİM GELİRLERİ                               </t>
    </r>
    <r>
      <rPr>
        <i/>
        <sz val="10"/>
        <rFont val="Times New Roman"/>
        <family val="1"/>
      </rPr>
      <t>( Tahsilat )                                 (  Premium Incomes )</t>
    </r>
  </si>
  <si>
    <r>
      <t xml:space="preserve">SAĞLIK TESİSİ GELİRLERİ                                                         </t>
    </r>
    <r>
      <rPr>
        <i/>
        <sz val="10"/>
        <rFont val="Times New Roman"/>
        <family val="1"/>
      </rPr>
      <t>( Health Facilities Revenue )</t>
    </r>
  </si>
  <si>
    <r>
      <t xml:space="preserve">SİGORTA GİDERLERİ       </t>
    </r>
    <r>
      <rPr>
        <i/>
        <sz val="10"/>
        <rFont val="Times New Roman"/>
        <family val="1"/>
      </rPr>
      <t xml:space="preserve">                                                      (  Insurance Expenditures )</t>
    </r>
  </si>
  <si>
    <r>
      <t>ORANI</t>
    </r>
    <r>
      <rPr>
        <i/>
        <sz val="10"/>
        <rFont val="Times New Roman"/>
        <family val="1"/>
      </rPr>
      <t xml:space="preserve">                    ( Rate ) </t>
    </r>
    <r>
      <rPr>
        <sz val="10"/>
        <rFont val="Times New Roman"/>
        <family val="1"/>
      </rPr>
      <t>%</t>
    </r>
  </si>
  <si>
    <r>
      <t>ORANI</t>
    </r>
    <r>
      <rPr>
        <i/>
        <sz val="10"/>
        <rFont val="Times New Roman"/>
        <family val="1"/>
      </rPr>
      <t xml:space="preserve">                                 ( Rate ) </t>
    </r>
    <r>
      <rPr>
        <sz val="10"/>
        <rFont val="Times New Roman"/>
        <family val="1"/>
      </rPr>
      <t>%</t>
    </r>
  </si>
  <si>
    <r>
      <t xml:space="preserve">SAĞLIK  GİDERLERİ                     </t>
    </r>
    <r>
      <rPr>
        <i/>
        <sz val="10"/>
        <rFont val="Times New Roman"/>
        <family val="1"/>
      </rPr>
      <t>( Health Expenditures  )</t>
    </r>
  </si>
  <si>
    <r>
      <t>DİĞER GİDERLER</t>
    </r>
    <r>
      <rPr>
        <i/>
        <sz val="10"/>
        <rFont val="Times New Roman"/>
        <family val="1"/>
      </rPr>
      <t xml:space="preserve">                               ( Other Expenditures )</t>
    </r>
  </si>
  <si>
    <r>
      <t xml:space="preserve">YATIRIMLAR                                     </t>
    </r>
    <r>
      <rPr>
        <i/>
        <sz val="10"/>
        <rFont val="Times New Roman"/>
        <family val="1"/>
      </rPr>
      <t>( Investments )</t>
    </r>
  </si>
  <si>
    <r>
      <t xml:space="preserve">TAŞRA TEŞKİLATI </t>
    </r>
    <r>
      <rPr>
        <i/>
        <sz val="14"/>
        <color indexed="12"/>
        <rFont val="Times New Roman"/>
        <family val="1"/>
      </rPr>
      <t>(Provincial Organizations)</t>
    </r>
  </si>
  <si>
    <r>
      <t>PERSONEL DAĞILIMI</t>
    </r>
    <r>
      <rPr>
        <sz val="14"/>
        <color indexed="12"/>
        <rFont val="Times New Roman"/>
        <family val="1"/>
      </rPr>
      <t xml:space="preserve"> </t>
    </r>
    <r>
      <rPr>
        <i/>
        <sz val="12"/>
        <color indexed="12"/>
        <rFont val="Times New Roman"/>
        <family val="1"/>
      </rPr>
      <t>( Distributions of Personnel )</t>
    </r>
  </si>
  <si>
    <r>
      <t xml:space="preserve">TAŞRA TEŞKİLATI PERSONEL DURUMU </t>
    </r>
    <r>
      <rPr>
        <i/>
        <sz val="12"/>
        <color indexed="12"/>
        <rFont val="Times New Roman"/>
        <family val="1"/>
      </rPr>
      <t>( Personnel Sitution Of Provincial Organization)</t>
    </r>
  </si>
  <si>
    <r>
      <t xml:space="preserve">İLAÇ VE TIBBİ MALZEME SANAYİİ MÜESSESESİ PERSONEL DURUMU </t>
    </r>
    <r>
      <rPr>
        <sz val="12"/>
        <color indexed="12"/>
        <rFont val="Times New Roman"/>
        <family val="1"/>
      </rPr>
      <t xml:space="preserve">                             </t>
    </r>
    <r>
      <rPr>
        <i/>
        <sz val="12"/>
        <color indexed="12"/>
        <rFont val="Times New Roman"/>
        <family val="1"/>
      </rPr>
      <t xml:space="preserve">( Personnel Situation Of Institution Of  Medicine And Medical Equipment Industries ) </t>
    </r>
  </si>
  <si>
    <r>
      <t>MALİ DURUM</t>
    </r>
    <r>
      <rPr>
        <sz val="12"/>
        <color indexed="12"/>
        <rFont val="Times New Roman"/>
        <family val="1"/>
      </rPr>
      <t xml:space="preserve"> </t>
    </r>
    <r>
      <rPr>
        <i/>
        <sz val="12"/>
        <color indexed="12"/>
        <rFont val="Times New Roman"/>
        <family val="1"/>
      </rPr>
      <t>( Financial Situation )</t>
    </r>
  </si>
  <si>
    <r>
      <t xml:space="preserve">SSK, BAĞ-KUR VE EMEKLİ SANDIĞINA  YAPILAN BÜTÇE TRANSFERLERİ                                                          </t>
    </r>
    <r>
      <rPr>
        <i/>
        <sz val="11"/>
        <color indexed="12"/>
        <rFont val="Times New Roman"/>
        <family val="1"/>
      </rPr>
      <t>(Milyar TL.)</t>
    </r>
  </si>
  <si>
    <r>
      <t xml:space="preserve">                          PRİM GELİRLERİ VE EMEKLİ ÖDEMELERİ </t>
    </r>
    <r>
      <rPr>
        <i/>
        <sz val="12"/>
        <color indexed="12"/>
        <rFont val="Times New Roman"/>
        <family val="1"/>
      </rPr>
      <t>( Milyar TL.)</t>
    </r>
  </si>
  <si>
    <r>
      <t xml:space="preserve">SİGORTA HİZMETLERİ </t>
    </r>
    <r>
      <rPr>
        <i/>
        <sz val="12"/>
        <color indexed="12"/>
        <rFont val="Times New Roman"/>
        <family val="1"/>
      </rPr>
      <t>(Insurance Services)</t>
    </r>
  </si>
  <si>
    <r>
      <t xml:space="preserve">TARIM SİGORTALILARI </t>
    </r>
    <r>
      <rPr>
        <i/>
        <sz val="12"/>
        <color indexed="12"/>
        <rFont val="Times New Roman"/>
        <family val="1"/>
      </rPr>
      <t>(Insured Employed in Agricultural Sector)</t>
    </r>
  </si>
  <si>
    <r>
      <t xml:space="preserve">İDARİ PARA CEZALARI </t>
    </r>
    <r>
      <rPr>
        <i/>
        <sz val="12"/>
        <color indexed="12"/>
        <rFont val="Times New Roman"/>
        <family val="1"/>
      </rPr>
      <t>(Administrative Fine)</t>
    </r>
  </si>
  <si>
    <r>
      <t xml:space="preserve">PRİME ESAS KAZANÇ ALT VE ÜST SINIRLARI İLE ASGARİ ÜCRET TUTARLARI </t>
    </r>
    <r>
      <rPr>
        <i/>
        <sz val="12"/>
        <color indexed="12"/>
        <rFont val="Times New Roman"/>
        <family val="1"/>
      </rPr>
      <t>(TL.)               (Upper and Lower Levels Of Insurable Earnings,Amount of the monthly (daily) minimum wage)</t>
    </r>
  </si>
  <si>
    <r>
      <t xml:space="preserve">KURUMUMUZDAN AYLIK VE GELİR ALANLARIN SAYISI </t>
    </r>
    <r>
      <rPr>
        <i/>
        <sz val="12"/>
        <color indexed="12"/>
        <rFont val="Times New Roman"/>
        <family val="1"/>
      </rPr>
      <t>( Number Of Pensioners Covered by Sll )</t>
    </r>
  </si>
  <si>
    <r>
      <t xml:space="preserve">EMEKLİ AYLIK SEVİYELERİ </t>
    </r>
    <r>
      <rPr>
        <i/>
        <sz val="12"/>
        <color indexed="12"/>
        <rFont val="Times New Roman"/>
        <family val="1"/>
      </rPr>
      <t>(TL.) (Level Of Pensions)</t>
    </r>
  </si>
  <si>
    <r>
      <t xml:space="preserve">KURUMUN SAĞLIK GİDERLERİ </t>
    </r>
    <r>
      <rPr>
        <i/>
        <sz val="11"/>
        <color indexed="12"/>
        <rFont val="Times New Roman"/>
        <family val="1"/>
      </rPr>
      <t>(MİLYAR TL) (Health Expenditures of SII)</t>
    </r>
  </si>
  <si>
    <r>
      <t xml:space="preserve">SAĞLIK HARCAMALARI </t>
    </r>
    <r>
      <rPr>
        <i/>
        <sz val="11"/>
        <color indexed="12"/>
        <rFont val="Times New Roman"/>
        <family val="1"/>
      </rPr>
      <t>(MİLYAR TL) (Expenditures of Health)</t>
    </r>
  </si>
  <si>
    <r>
      <t xml:space="preserve">TEDAVİ FAALİYETLERİ </t>
    </r>
    <r>
      <rPr>
        <i/>
        <sz val="12"/>
        <color indexed="12"/>
        <rFont val="Times New Roman"/>
        <family val="1"/>
      </rPr>
      <t>(Medical Treatment Activity)</t>
    </r>
  </si>
  <si>
    <t>( 31.03.2006 Tarihi İtibariyle )</t>
  </si>
  <si>
    <r>
      <t xml:space="preserve">KURUMUN ÖDEMELER DENGESİNİN YILLAR İTİBARİYLE GELİŞİMİ </t>
    </r>
    <r>
      <rPr>
        <i/>
        <sz val="10"/>
        <color indexed="12"/>
        <rFont val="Times New Roman"/>
        <family val="1"/>
      </rPr>
      <t>(Changes in Balance of Payments of SII by Year)</t>
    </r>
  </si>
  <si>
    <r>
      <t xml:space="preserve">YILLAR </t>
    </r>
    <r>
      <rPr>
        <i/>
        <sz val="9"/>
        <rFont val="Times New Roman"/>
        <family val="1"/>
      </rPr>
      <t>(Years)</t>
    </r>
  </si>
  <si>
    <r>
      <t xml:space="preserve">GELİRLER TOPLAMI </t>
    </r>
    <r>
      <rPr>
        <i/>
        <sz val="9"/>
        <rFont val="Times New Roman"/>
        <family val="1"/>
      </rPr>
      <t>(Total of Revenues)</t>
    </r>
  </si>
  <si>
    <r>
      <t xml:space="preserve">GİDERLER TOPLAMI </t>
    </r>
    <r>
      <rPr>
        <i/>
        <sz val="9"/>
        <rFont val="Times New Roman"/>
        <family val="1"/>
      </rPr>
      <t>(Total of Enpenditures)</t>
    </r>
  </si>
  <si>
    <r>
      <t xml:space="preserve">FARK </t>
    </r>
    <r>
      <rPr>
        <i/>
        <sz val="9"/>
        <rFont val="Times New Roman"/>
        <family val="1"/>
      </rPr>
      <t>(Deficit)</t>
    </r>
  </si>
  <si>
    <r>
      <t>(*)</t>
    </r>
    <r>
      <rPr>
        <sz val="8"/>
        <rFont val="Times New Roman"/>
        <family val="1"/>
      </rPr>
      <t>1989-1998 yılları gelir gider arasındaki fark, yıllık ortalama dolar kuru üzerinden  hesaplanırken,1999-2003 yılları arası her ayın sonundaki döviz alış kuru üzerinden hesaplanan birikimli rakamlardır.</t>
    </r>
  </si>
  <si>
    <r>
      <t xml:space="preserve">(**)    </t>
    </r>
    <r>
      <rPr>
        <sz val="8"/>
        <rFont val="Times New Roman"/>
        <family val="1"/>
      </rPr>
      <t>2004 yılı 12 aylık fiili  nakit akım tablosu rakamları olup bu rakamlar içerisinde emeklilere ödenen , ocak ve temmuz aylarında ki %10 luk artışlar dahildir</t>
    </r>
  </si>
  <si>
    <t>(*) 2003 yılında hazineden alınan toplam para 4.808.617 Milyar TL. olup, bundan 1.643.041 Milyar TL. 'si sosyal destek ödemesi, 4325 sayılı yasa gereğince mahsup yapılan 7.692,5 Milyar TL. düşülürse 3.157.883,5 Milyar TL.  SSK adına yapılan hazine yardımını buluruz. Bu yardımdan 300.000 Milyar TL. 2002 yılından devreden ilaç borcundan 7.692,5 Milyar TL. mahsup edildikten sonra geriye kalan 292.307,5 Milyar TL. ilaç borcunu düşersek asıl bütçe açığımız olan 2.865.576 Milyar TL.' yi, 2004 yılında hazineden alınan toplam para 5.757.000 Milyar TL. olup, bundan Tütünbank'ın kuruma devri nedeniyle oluşan ödemeler açığı tutarı olarak 592.153 Milyar TL. mahsup edildikten sonra 5.164.847 Milyar TL.,SSK adına yapılan hazine yardımını buluruz.</t>
  </si>
  <si>
    <r>
      <t>•</t>
    </r>
    <r>
      <rPr>
        <b/>
        <sz val="11"/>
        <color indexed="8"/>
        <rFont val="Times New Roman"/>
        <family val="1"/>
      </rPr>
      <t xml:space="preserve">ASGARİ EMEKLİ </t>
    </r>
    <r>
      <rPr>
        <i/>
        <sz val="11"/>
        <color indexed="8"/>
        <rFont val="Times New Roman"/>
        <family val="1"/>
      </rPr>
      <t xml:space="preserve">(MART 2006) </t>
    </r>
  </si>
  <si>
    <t xml:space="preserve">SİGORTALI BAŞINA AYLIK PRİM TUTARI   </t>
  </si>
  <si>
    <t>2006           (Mart)</t>
  </si>
  <si>
    <t>NOT:2005 yılı rakamlarımız 12 aylık fiili,2006 yılı ise 3 aylık fiili 9 aylık tahmini nakit akım tablolarından alınmıştır.</t>
  </si>
  <si>
    <r>
      <t xml:space="preserve">Merkez Teşkilatı Personel Durumu </t>
    </r>
    <r>
      <rPr>
        <i/>
        <sz val="10"/>
        <color indexed="8"/>
        <rFont val="Times New Roman"/>
        <family val="1"/>
      </rPr>
      <t xml:space="preserve"> ( 31.03.2006 Tarihi İtibariyle )</t>
    </r>
  </si>
  <si>
    <r>
      <t xml:space="preserve">Personel Dağılımı </t>
    </r>
    <r>
      <rPr>
        <i/>
        <sz val="10"/>
        <color indexed="8"/>
        <rFont val="Times New Roman"/>
        <family val="1"/>
      </rPr>
      <t>(31.03.2006 Tarihi İtibariyle)</t>
    </r>
  </si>
  <si>
    <r>
      <t>Taşra Teşkilatı Personel Durumu</t>
    </r>
    <r>
      <rPr>
        <i/>
        <sz val="10"/>
        <color indexed="8"/>
        <rFont val="Times New Roman"/>
        <family val="1"/>
      </rPr>
      <t xml:space="preserve"> ( 31.03. 2006 Tarihi İtibariyle )</t>
    </r>
  </si>
  <si>
    <r>
      <t xml:space="preserve">İlaç ve Tıbbi Malzeme Sanayii Müessesesi Personel Durumu                                                                                            </t>
    </r>
    <r>
      <rPr>
        <i/>
        <sz val="10"/>
        <color indexed="8"/>
        <rFont val="Times New Roman"/>
        <family val="1"/>
      </rPr>
      <t>( 31.03.2006 Tarihi İtibariyle )</t>
    </r>
  </si>
  <si>
    <t>(28),(29)</t>
  </si>
  <si>
    <t>(27)</t>
  </si>
  <si>
    <r>
      <t>NOT :</t>
    </r>
    <r>
      <rPr>
        <sz val="12"/>
        <rFont val="Times New Roman"/>
        <family val="1"/>
      </rPr>
      <t xml:space="preserve"> İlaç ve Tıbbi Malzeme Sanayii Müessesesinin Faliyetlerinin azalması nedeniyle çalışan işçi personelimizin bir kısmı İstanbul Sağlık İşleri İl Müdürlüğüne diğer kısmı ise  İstanbul'daki Sigorta İl Müdürlüklerine atamaları yapılmıştır.</t>
    </r>
  </si>
  <si>
    <r>
      <t>NOT:</t>
    </r>
    <r>
      <rPr>
        <sz val="10"/>
        <rFont val="Times New Roman"/>
        <family val="1"/>
      </rPr>
      <t xml:space="preserve">.2006 yılı rakamlar  3 aylık fiili,9 aylık tahmini nakit akım tablosundan alınmıştır.Hazineden, mart ayında emeklilerimize ödenmek üzere ek ödeme karşılığı olan 82.736 Bin YTL.ek ödeme alınmıştır. </t>
    </r>
  </si>
  <si>
    <r>
      <t xml:space="preserve">2- ÇALIŞMA RAPORU KİTABIMIZDA YER ALAN EMEKLİ ÖDEMELERİ TUTARLARI SSK ADINA YAPILAN FİİLİ ÖDEMELERİ , NAKİT AKIM TABLOSUNDA Kİ EMEKLİ ÖDEMELERİ İSE MÜŞTEREK EMEKLİLİKTEN </t>
    </r>
    <r>
      <rPr>
        <b/>
        <i/>
        <sz val="8"/>
        <rFont val="Times New Roman"/>
        <family val="1"/>
      </rPr>
      <t>(BAĞ-KUR ,EMEKLİ SANDIĞI,EK 20.MD.SANDIKLARI)</t>
    </r>
    <r>
      <rPr>
        <b/>
        <sz val="8"/>
        <rFont val="Times New Roman"/>
        <family val="1"/>
      </rPr>
      <t xml:space="preserve"> YAPILAN ÖDEMELERİ DE KAPSADIĞINDAN FARKLILIK GÖSTERMEKTİR.</t>
    </r>
  </si>
  <si>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yapılmıştır. </t>
  </si>
  <si>
    <r>
      <t xml:space="preserve">(***)  </t>
    </r>
    <r>
      <rPr>
        <sz val="8"/>
        <rFont val="Times New Roman"/>
        <family val="1"/>
      </rPr>
      <t>2005 yılı ise 12 aylık fiili rakamlardır.2005 yılı gelir-gider farkı  7.507.267 Milyar TL.olması gerekirken , içinden 95.600 Milyar TL.. aralık ayından ocak ayına nakit devri çıkarılmıştır</t>
    </r>
  </si>
  <si>
    <t>(**)  2005 yılı ise 12 aylık fiili rakamlardır.2005 yılı hazineden alınan toplam para  7.507.267Milyar TL.dir.,  Bu paranın içinde 95.600 Milyar TL.. aralık ayından ocak ayına nakit devri dahil olup bu miktar mahsup edildikten sonra 7.411.667 Milyar TL.olan hazine yardımını buluruz.</t>
  </si>
  <si>
    <t>SAĞLIK BAKANLIĞI İLE DİĞER SAĞLIK TESİSLERİ ÖDEMELERİ(***)</t>
  </si>
  <si>
    <t>(***)İlaç giderleri dahildir.</t>
  </si>
  <si>
    <t xml:space="preserve"> SAĞLIK BAKANLIĞI İLE DİĞER SAĞLIK TESİSLERİ ÖDEMELERİNİN TOPLAM İÇİNDEKİ ORANI(%)</t>
  </si>
  <si>
    <t>NOT:1-) 2005 yılı rakamlarımız 12 aylık fiili nakit akım tablosundan alınmıştır.2006 yılı ise 3 aylık fiili 9 aylık tahmini nakit akım tablolarından alınmıştır.</t>
  </si>
  <si>
    <t>NOT:2-) Diğer sağlık giderleri içerisinde Sağlık İl Müdürlükleri personel ve idame gideri ile geçici işgöremezlik gid.vs.giderleri dahildir.</t>
  </si>
  <si>
    <t>DİĞER SAĞLIK  GİDERİ</t>
  </si>
  <si>
    <t>DİĞER SAĞLIK  GİDERİNİN TOPLAM İÇİNDEKİ ORANI(%)</t>
  </si>
  <si>
    <t>2006(Şubat)</t>
  </si>
  <si>
    <r>
      <t xml:space="preserve">2006 </t>
    </r>
    <r>
      <rPr>
        <sz val="9"/>
        <rFont val="Times New Roman"/>
        <family val="1"/>
      </rPr>
      <t>( Şubat Ayı )</t>
    </r>
  </si>
  <si>
    <t>(*) 2000 yılı öncesi emekli olan kişilerin azami aylığının bugüne kadarki  tüfelendirilmiş kısmı 862,18 YTL.dir.Ancak 2006 Mart dönemi itibariyle karma sisteme göre bağlanan azami aylığın tutarı 4,69YTL. SYZ dahil 1.255,77 YTL.dir.</t>
  </si>
  <si>
    <t>BAŞKANLIĞI</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</si>
</sst>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_(* #,##0.00_);_(* \(#,##0.00\);_(* &quot;-&quot;??_);_(@_)"/>
    <numFmt numFmtId="167" formatCode="_(* #,##0_);_(* \(#,##0\);_(* &quot;-&quot;??_);_(@_)"/>
    <numFmt numFmtId="168" formatCode="_(* #,##0.0_);_(* \(#,##0.0\);_(* &quot;-&quot;??_);_(@_)"/>
    <numFmt numFmtId="169" formatCode="#,##0.0"/>
    <numFmt numFmtId="170" formatCode="0.0"/>
    <numFmt numFmtId="171" formatCode="_(* #,##0_);_(* \(#,##0\);_(* &quot;-&quot;_);_(@_)"/>
    <numFmt numFmtId="172" formatCode="&quot;Evet&quot;;&quot;Evet&quot;;&quot;Hayır&quot;"/>
    <numFmt numFmtId="173" formatCode="&quot;Doğru&quot;;&quot;Doğru&quot;;&quot;Yanlış&quot;"/>
    <numFmt numFmtId="174" formatCode="&quot;Açık&quot;;&quot;Açık&quot;;&quot;Kapalı&quot;"/>
    <numFmt numFmtId="175" formatCode="_-* #,##0_-;\-* #,##0_-;_-* &quot;-&quot;??_-;_-@_-"/>
    <numFmt numFmtId="176" formatCode="[$-41F]dd\ mmmm\ yyyy\ dddd"/>
    <numFmt numFmtId="177" formatCode="#,##0.0\ &quot;TL&quot;"/>
    <numFmt numFmtId="178" formatCode="#,##0.00\ &quot;TL&quot;"/>
    <numFmt numFmtId="179" formatCode="00000"/>
    <numFmt numFmtId="180" formatCode="_-* #,##0.0_-;\-* #,##0.0_-;_-* &quot;-&quot;??_-;_-@_-"/>
    <numFmt numFmtId="181" formatCode="#,##0.000"/>
    <numFmt numFmtId="182" formatCode="#,##0.0\ &quot;TL&quot;;[Red]\-#,##0.0\ &quot;TL&quot;"/>
    <numFmt numFmtId="183" formatCode="0.0%"/>
    <numFmt numFmtId="184" formatCode="_-* #,##0.0\ _T_L_-;\-* #,##0.0\ _T_L_-;_-* &quot;-&quot;?\ _T_L_-;_-@_-"/>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mmmmm\ yy"/>
    <numFmt numFmtId="195" formatCode="mmmm\ yy"/>
    <numFmt numFmtId="196" formatCode="#,##0_ ;\-#,##0\ "/>
    <numFmt numFmtId="197" formatCode="#,##0.0000"/>
    <numFmt numFmtId="198" formatCode="_-* #,##0.0\ &quot;TL&quot;_-;\-* #,##0.0\ &quot;TL&quot;_-;_-* &quot;-&quot;\ &quot;TL&quot;_-;_-@_-"/>
    <numFmt numFmtId="199" formatCode="_-* #,##0.00\ &quot;TL&quot;_-;\-* #,##0.00\ &quot;TL&quot;_-;_-* &quot;-&quot;\ &quot;TL&quot;_-;_-@_-"/>
    <numFmt numFmtId="200" formatCode="_-* #,##0.000\ &quot;TL&quot;_-;\-* #,##0.000\ &quot;TL&quot;_-;_-* &quot;-&quot;\ &quot;TL&quot;_-;_-@_-"/>
    <numFmt numFmtId="201" formatCode="_-* #,##0.0000\ &quot;TL&quot;_-;\-* #,##0.0000\ &quot;TL&quot;_-;_-* &quot;-&quot;\ &quot;TL&quot;_-;_-@_-"/>
    <numFmt numFmtId="202" formatCode="_-* #,##0.00000\ &quot;TL&quot;_-;\-* #,##0.00000\ &quot;TL&quot;_-;_-* &quot;-&quot;\ &quot;TL&quot;_-;_-@_-"/>
    <numFmt numFmtId="203" formatCode="_-* #,##0.000000\ &quot;TL&quot;_-;\-* #,##0.000000\ &quot;TL&quot;_-;_-* &quot;-&quot;\ &quot;TL&quot;_-;_-@_-"/>
    <numFmt numFmtId="204" formatCode="_-* #,##0.0000000\ &quot;TL&quot;_-;\-* #,##0.0000000\ &quot;TL&quot;_-;_-* &quot;-&quot;\ &quot;TL&quot;_-;_-@_-"/>
    <numFmt numFmtId="205" formatCode="_-* #,##0.00000000\ &quot;TL&quot;_-;\-* #,##0.00000000\ &quot;TL&quot;_-;_-* &quot;-&quot;\ &quot;TL&quot;_-;_-@_-"/>
    <numFmt numFmtId="206" formatCode="_-* #,##0.000000000\ &quot;TL&quot;_-;\-* #,##0.000000000\ &quot;TL&quot;_-;_-* &quot;-&quot;\ &quot;TL&quot;_-;_-@_-"/>
    <numFmt numFmtId="207" formatCode="B2dd/mm/yyyy"/>
    <numFmt numFmtId="208" formatCode="[$-41F]0.00"/>
    <numFmt numFmtId="209" formatCode="_-* #,##0.00\ _T_L_-;\-* #,##0.00\ _T_L_-;_-* &quot;-&quot;?\ _T_L_-;_-@_-"/>
    <numFmt numFmtId="210" formatCode="_-* #,##0.000\ _T_L_-;\-* #,##0.000\ _T_L_-;_-* &quot;-&quot;?\ _T_L_-;_-@_-"/>
    <numFmt numFmtId="211" formatCode="_-* #,##0.0000\ _T_L_-;\-* #,##0.0000\ _T_L_-;_-* &quot;-&quot;?\ _T_L_-;_-@_-"/>
    <numFmt numFmtId="212" formatCode="_-* #,##0.00000\ _T_L_-;\-* #,##0.00000\ _T_L_-;_-* &quot;-&quot;?\ _T_L_-;_-@_-"/>
    <numFmt numFmtId="213" formatCode="_(* #,##0.000_);_(* \(#,##0.000\);_(* &quot;-&quot;??_);_(@_)"/>
    <numFmt numFmtId="214" formatCode="_(* #,##0.0000_);_(* \(#,##0.0000\);_(* &quot;-&quot;??_);_(@_)"/>
    <numFmt numFmtId="215" formatCode="[$-41F]d\ mmmm;@"/>
  </numFmts>
  <fonts count="115">
    <font>
      <sz val="10"/>
      <name val="Arial Tur"/>
      <family val="0"/>
    </font>
    <font>
      <sz val="10"/>
      <name val="Times New Roman"/>
      <family val="1"/>
    </font>
    <font>
      <b/>
      <sz val="10"/>
      <name val="Times New Roman"/>
      <family val="1"/>
    </font>
    <font>
      <b/>
      <sz val="10"/>
      <name val="Arial Tur"/>
      <family val="0"/>
    </font>
    <font>
      <sz val="12"/>
      <name val="Times New Roman"/>
      <family val="1"/>
    </font>
    <font>
      <b/>
      <sz val="12"/>
      <name val="Times New Roman"/>
      <family val="1"/>
    </font>
    <font>
      <b/>
      <sz val="14"/>
      <name val="Times New Roman"/>
      <family val="1"/>
    </font>
    <font>
      <sz val="14"/>
      <name val="Times New Roman"/>
      <family val="1"/>
    </font>
    <font>
      <sz val="8"/>
      <name val="Arial Tur"/>
      <family val="0"/>
    </font>
    <font>
      <b/>
      <sz val="8"/>
      <name val="Times New Roman"/>
      <family val="1"/>
    </font>
    <font>
      <sz val="12"/>
      <name val="Arial Tur"/>
      <family val="0"/>
    </font>
    <font>
      <sz val="11.5"/>
      <name val="Arial Tur"/>
      <family val="0"/>
    </font>
    <font>
      <b/>
      <sz val="11"/>
      <name val="Times New Roman"/>
      <family val="1"/>
    </font>
    <font>
      <sz val="11.25"/>
      <name val="Arial Tur"/>
      <family val="0"/>
    </font>
    <font>
      <sz val="9.75"/>
      <name val="Arial Tur"/>
      <family val="0"/>
    </font>
    <font>
      <b/>
      <sz val="6.25"/>
      <name val="Times New Roman"/>
      <family val="1"/>
    </font>
    <font>
      <i/>
      <sz val="12"/>
      <name val="Times New Roman"/>
      <family val="1"/>
    </font>
    <font>
      <b/>
      <sz val="2.5"/>
      <name val="Times New Roman"/>
      <family val="1"/>
    </font>
    <font>
      <b/>
      <sz val="2.25"/>
      <name val="Times New Roman"/>
      <family val="1"/>
    </font>
    <font>
      <sz val="4"/>
      <name val="Arial Tur"/>
      <family val="0"/>
    </font>
    <font>
      <sz val="3.5"/>
      <name val="Arial Tur"/>
      <family val="0"/>
    </font>
    <font>
      <b/>
      <sz val="2.75"/>
      <name val="Times New Roman"/>
      <family val="1"/>
    </font>
    <font>
      <sz val="11.75"/>
      <name val="Arial Tur"/>
      <family val="0"/>
    </font>
    <font>
      <b/>
      <sz val="9"/>
      <name val="Times New Roman"/>
      <family val="1"/>
    </font>
    <font>
      <b/>
      <sz val="13.75"/>
      <name val="Times New Roman"/>
      <family val="1"/>
    </font>
    <font>
      <b/>
      <sz val="11.75"/>
      <name val="Times New Roman"/>
      <family val="1"/>
    </font>
    <font>
      <i/>
      <sz val="10"/>
      <name val="Times New Roman"/>
      <family val="1"/>
    </font>
    <font>
      <u val="single"/>
      <sz val="10"/>
      <color indexed="36"/>
      <name val="Arial"/>
      <family val="0"/>
    </font>
    <font>
      <u val="single"/>
      <sz val="10"/>
      <color indexed="12"/>
      <name val="Arial"/>
      <family val="0"/>
    </font>
    <font>
      <sz val="11"/>
      <name val="Times New Roman"/>
      <family val="1"/>
    </font>
    <font>
      <b/>
      <sz val="10"/>
      <color indexed="8"/>
      <name val="Times New Roman"/>
      <family val="1"/>
    </font>
    <font>
      <sz val="9"/>
      <name val="Times New Roman"/>
      <family val="1"/>
    </font>
    <font>
      <sz val="11"/>
      <color indexed="8"/>
      <name val="Times New Roman"/>
      <family val="1"/>
    </font>
    <font>
      <i/>
      <sz val="9"/>
      <name val="Times New Roman"/>
      <family val="1"/>
    </font>
    <font>
      <i/>
      <sz val="11"/>
      <name val="Times New Roman"/>
      <family val="1"/>
    </font>
    <font>
      <b/>
      <sz val="11"/>
      <color indexed="12"/>
      <name val="Times New Roman"/>
      <family val="1"/>
    </font>
    <font>
      <sz val="10"/>
      <color indexed="9"/>
      <name val="Times New Roman"/>
      <family val="1"/>
    </font>
    <font>
      <b/>
      <sz val="11"/>
      <color indexed="8"/>
      <name val="Times New Roman"/>
      <family val="1"/>
    </font>
    <font>
      <sz val="10"/>
      <color indexed="8"/>
      <name val="Arial Tur"/>
      <family val="0"/>
    </font>
    <font>
      <i/>
      <sz val="11"/>
      <color indexed="8"/>
      <name val="Times New Roman"/>
      <family val="1"/>
    </font>
    <font>
      <b/>
      <sz val="8"/>
      <name val="Arial Tur"/>
      <family val="0"/>
    </font>
    <font>
      <b/>
      <sz val="9"/>
      <color indexed="8"/>
      <name val="Times New Roman"/>
      <family val="1"/>
    </font>
    <font>
      <i/>
      <sz val="9"/>
      <color indexed="8"/>
      <name val="Times New Roman"/>
      <family val="1"/>
    </font>
    <font>
      <b/>
      <sz val="9"/>
      <color indexed="9"/>
      <name val="Times New Roman"/>
      <family val="1"/>
    </font>
    <font>
      <b/>
      <sz val="11"/>
      <color indexed="9"/>
      <name val="Times New Roman"/>
      <family val="1"/>
    </font>
    <font>
      <sz val="11"/>
      <color indexed="9"/>
      <name val="Times New Roman"/>
      <family val="1"/>
    </font>
    <font>
      <b/>
      <sz val="12"/>
      <color indexed="8"/>
      <name val="Times New Roman"/>
      <family val="1"/>
    </font>
    <font>
      <b/>
      <i/>
      <sz val="11"/>
      <color indexed="8"/>
      <name val="Times New Roman"/>
      <family val="1"/>
    </font>
    <font>
      <b/>
      <sz val="7"/>
      <name val="Times New Roman"/>
      <family val="1"/>
    </font>
    <font>
      <sz val="8"/>
      <name val="Times New Roman"/>
      <family val="1"/>
    </font>
    <font>
      <b/>
      <sz val="8"/>
      <color indexed="8"/>
      <name val="Times New Roman"/>
      <family val="1"/>
    </font>
    <font>
      <sz val="8"/>
      <color indexed="8"/>
      <name val="Times New Roman"/>
      <family val="1"/>
    </font>
    <font>
      <sz val="10"/>
      <color indexed="10"/>
      <name val="Times New Roman"/>
      <family val="1"/>
    </font>
    <font>
      <b/>
      <sz val="8.25"/>
      <name val="Times New Roman"/>
      <family val="1"/>
    </font>
    <font>
      <sz val="8.25"/>
      <name val="Arial Tur"/>
      <family val="0"/>
    </font>
    <font>
      <b/>
      <sz val="12"/>
      <color indexed="48"/>
      <name val="Times New Roman"/>
      <family val="1"/>
    </font>
    <font>
      <sz val="10"/>
      <color indexed="8"/>
      <name val="Times New Roman"/>
      <family val="1"/>
    </font>
    <font>
      <i/>
      <sz val="12"/>
      <color indexed="8"/>
      <name val="Times New Roman"/>
      <family val="1"/>
    </font>
    <font>
      <i/>
      <sz val="10"/>
      <color indexed="8"/>
      <name val="Times New Roman"/>
      <family val="1"/>
    </font>
    <font>
      <sz val="10.5"/>
      <name val="Arial Tur"/>
      <family val="0"/>
    </font>
    <font>
      <sz val="9"/>
      <color indexed="8"/>
      <name val="Times New Roman"/>
      <family val="1"/>
    </font>
    <font>
      <b/>
      <sz val="9"/>
      <color indexed="48"/>
      <name val="Times New Roman"/>
      <family val="1"/>
    </font>
    <font>
      <b/>
      <sz val="9"/>
      <color indexed="10"/>
      <name val="Times New Roman"/>
      <family val="1"/>
    </font>
    <font>
      <sz val="14"/>
      <color indexed="10"/>
      <name val="Times New Roman"/>
      <family val="1"/>
    </font>
    <font>
      <sz val="16"/>
      <name val="Arial Tur"/>
      <family val="0"/>
    </font>
    <font>
      <b/>
      <sz val="8.5"/>
      <name val="Times New Roman"/>
      <family val="1"/>
    </font>
    <font>
      <sz val="16.75"/>
      <name val="Arial Tur"/>
      <family val="0"/>
    </font>
    <font>
      <sz val="15.75"/>
      <name val="Arial Tur"/>
      <family val="0"/>
    </font>
    <font>
      <sz val="11"/>
      <name val="Arial Tur"/>
      <family val="0"/>
    </font>
    <font>
      <sz val="12"/>
      <color indexed="9"/>
      <name val="Times New Roman"/>
      <family val="1"/>
    </font>
    <font>
      <sz val="8"/>
      <color indexed="9"/>
      <name val="Times New Roman"/>
      <family val="1"/>
    </font>
    <font>
      <b/>
      <sz val="8.75"/>
      <name val="Times New Roman"/>
      <family val="1"/>
    </font>
    <font>
      <sz val="9"/>
      <name val="Arial Tur"/>
      <family val="0"/>
    </font>
    <font>
      <sz val="12"/>
      <color indexed="8"/>
      <name val="Times New Roman"/>
      <family val="1"/>
    </font>
    <font>
      <b/>
      <u val="single"/>
      <sz val="12"/>
      <color indexed="8"/>
      <name val="Times New Roman"/>
      <family val="1"/>
    </font>
    <font>
      <b/>
      <sz val="7"/>
      <color indexed="60"/>
      <name val="Times New Roman"/>
      <family val="1"/>
    </font>
    <font>
      <sz val="7"/>
      <name val="Times New Roman"/>
      <family val="1"/>
    </font>
    <font>
      <sz val="14"/>
      <color indexed="8"/>
      <name val="Times New Roman"/>
      <family val="1"/>
    </font>
    <font>
      <sz val="7"/>
      <color indexed="8"/>
      <name val="Times New Roman"/>
      <family val="1"/>
    </font>
    <font>
      <sz val="6"/>
      <color indexed="8"/>
      <name val="Times New Roman"/>
      <family val="1"/>
    </font>
    <font>
      <b/>
      <sz val="7"/>
      <color indexed="8"/>
      <name val="Times New Roman"/>
      <family val="1"/>
    </font>
    <font>
      <b/>
      <sz val="12"/>
      <color indexed="12"/>
      <name val="Times New Roman"/>
      <family val="1"/>
    </font>
    <font>
      <b/>
      <sz val="14"/>
      <color indexed="12"/>
      <name val="Times New Roman"/>
      <family val="1"/>
    </font>
    <font>
      <i/>
      <sz val="12"/>
      <color indexed="12"/>
      <name val="Times New Roman"/>
      <family val="1"/>
    </font>
    <font>
      <b/>
      <sz val="9.75"/>
      <color indexed="12"/>
      <name val="Times New Roman"/>
      <family val="1"/>
    </font>
    <font>
      <sz val="10"/>
      <color indexed="12"/>
      <name val="Arial Tur"/>
      <family val="0"/>
    </font>
    <font>
      <b/>
      <sz val="22"/>
      <color indexed="12"/>
      <name val="Times New Roman"/>
      <family val="1"/>
    </font>
    <font>
      <sz val="22"/>
      <color indexed="12"/>
      <name val="Arial Tur"/>
      <family val="0"/>
    </font>
    <font>
      <sz val="12"/>
      <color indexed="12"/>
      <name val="Times New Roman"/>
      <family val="1"/>
    </font>
    <font>
      <i/>
      <sz val="14"/>
      <color indexed="12"/>
      <name val="Times New Roman"/>
      <family val="1"/>
    </font>
    <font>
      <sz val="14"/>
      <color indexed="12"/>
      <name val="Times New Roman"/>
      <family val="1"/>
    </font>
    <font>
      <i/>
      <sz val="11"/>
      <color indexed="12"/>
      <name val="Times New Roman"/>
      <family val="1"/>
    </font>
    <font>
      <i/>
      <sz val="10"/>
      <color indexed="12"/>
      <name val="Arial Tur"/>
      <family val="0"/>
    </font>
    <font>
      <sz val="10"/>
      <color indexed="12"/>
      <name val="Times New Roman"/>
      <family val="1"/>
    </font>
    <font>
      <i/>
      <sz val="10"/>
      <color indexed="12"/>
      <name val="Times New Roman"/>
      <family val="1"/>
    </font>
    <font>
      <sz val="12"/>
      <color indexed="12"/>
      <name val="Arial Tur"/>
      <family val="0"/>
    </font>
    <font>
      <b/>
      <sz val="10"/>
      <color indexed="12"/>
      <name val="Times New Roman"/>
      <family val="1"/>
    </font>
    <font>
      <b/>
      <sz val="6"/>
      <name val="Times New Roman"/>
      <family val="1"/>
    </font>
    <font>
      <b/>
      <sz val="7"/>
      <color indexed="12"/>
      <name val="Times New Roman"/>
      <family val="1"/>
    </font>
    <font>
      <i/>
      <sz val="7"/>
      <color indexed="12"/>
      <name val="Times New Roman"/>
      <family val="1"/>
    </font>
    <font>
      <sz val="9"/>
      <color indexed="9"/>
      <name val="Times New Roman"/>
      <family val="1"/>
    </font>
    <font>
      <b/>
      <vertAlign val="subscript"/>
      <sz val="18"/>
      <color indexed="12"/>
      <name val="Times New Roman"/>
      <family val="1"/>
    </font>
    <font>
      <b/>
      <i/>
      <sz val="8"/>
      <name val="Times New Roman"/>
      <family val="1"/>
    </font>
    <font>
      <b/>
      <sz val="18"/>
      <color indexed="18"/>
      <name val="Times New Roman"/>
      <family val="1"/>
    </font>
    <font>
      <sz val="16"/>
      <color indexed="18"/>
      <name val="Times New Roman"/>
      <family val="1"/>
    </font>
    <font>
      <b/>
      <sz val="26"/>
      <color indexed="18"/>
      <name val="Times New Roman"/>
      <family val="1"/>
    </font>
    <font>
      <i/>
      <sz val="26"/>
      <color indexed="18"/>
      <name val="Times New Roman"/>
      <family val="1"/>
    </font>
    <font>
      <i/>
      <sz val="26"/>
      <color indexed="10"/>
      <name val="Times New Roman"/>
      <family val="1"/>
    </font>
    <font>
      <i/>
      <sz val="16"/>
      <color indexed="10"/>
      <name val="Times New Roman"/>
      <family val="1"/>
    </font>
    <font>
      <i/>
      <sz val="11"/>
      <name val="Arial Tur"/>
      <family val="0"/>
    </font>
    <font>
      <b/>
      <i/>
      <sz val="14"/>
      <name val="Arial Tur"/>
      <family val="0"/>
    </font>
    <font>
      <b/>
      <sz val="16"/>
      <name val="Arial Tur"/>
      <family val="0"/>
    </font>
    <font>
      <b/>
      <sz val="11.25"/>
      <color indexed="12"/>
      <name val="Times New Roman"/>
      <family val="1"/>
    </font>
    <font>
      <b/>
      <sz val="8"/>
      <name val="Comic Sans MS"/>
      <family val="4"/>
    </font>
    <font>
      <sz val="15.25"/>
      <name val="Arial Tur"/>
      <family val="0"/>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3"/>
        <bgColor indexed="64"/>
      </patternFill>
    </fill>
  </fills>
  <borders count="56">
    <border>
      <left/>
      <right/>
      <top/>
      <bottom/>
      <diagonal/>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double"/>
      <right style="hair"/>
      <top style="double"/>
      <bottom style="hair"/>
    </border>
    <border>
      <left style="hair"/>
      <right style="hair"/>
      <top style="double"/>
      <bottom style="hair"/>
    </border>
    <border>
      <left style="double"/>
      <right style="hair"/>
      <top style="hair"/>
      <bottom style="hair"/>
    </border>
    <border>
      <left style="double"/>
      <right style="hair"/>
      <top style="double"/>
      <bottom>
        <color indexed="63"/>
      </bottom>
    </border>
    <border>
      <left style="double"/>
      <right style="hair"/>
      <top>
        <color indexed="63"/>
      </top>
      <bottom style="hair"/>
    </border>
    <border>
      <left style="hair"/>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hair"/>
      <right style="double"/>
      <top style="double"/>
      <bottom style="hair"/>
    </border>
    <border>
      <left style="hair"/>
      <right style="hair"/>
      <top style="double"/>
      <bottom>
        <color indexed="63"/>
      </bottom>
    </border>
    <border>
      <left style="hair"/>
      <right style="hair"/>
      <top>
        <color indexed="63"/>
      </top>
      <bottom style="hair"/>
    </border>
    <border>
      <left style="hair"/>
      <right>
        <color indexed="63"/>
      </right>
      <top style="double"/>
      <bottom style="hair"/>
    </border>
    <border>
      <left style="hair"/>
      <right>
        <color indexed="63"/>
      </right>
      <top style="hair"/>
      <bottom style="hair"/>
    </border>
    <border>
      <left style="double"/>
      <right>
        <color indexed="63"/>
      </right>
      <top>
        <color indexed="63"/>
      </top>
      <bottom style="double"/>
    </border>
    <border>
      <left>
        <color indexed="63"/>
      </left>
      <right style="hair"/>
      <top style="hair"/>
      <bottom style="hair"/>
    </border>
    <border>
      <left style="hair"/>
      <right style="double"/>
      <top>
        <color indexed="63"/>
      </top>
      <bottom style="hair"/>
    </border>
    <border>
      <left style="hair"/>
      <right style="double"/>
      <top style="double"/>
      <bottom>
        <color indexed="63"/>
      </bottom>
    </border>
    <border>
      <left style="double"/>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double"/>
      <top style="hair"/>
      <bottom style="hair"/>
    </border>
    <border>
      <left style="hair"/>
      <right>
        <color indexed="63"/>
      </right>
      <top style="hair"/>
      <bottom style="double"/>
    </border>
    <border>
      <left>
        <color indexed="63"/>
      </left>
      <right style="hair"/>
      <top style="hair"/>
      <bottom style="double"/>
    </border>
    <border>
      <left>
        <color indexed="63"/>
      </left>
      <right style="double"/>
      <top style="hair"/>
      <bottom style="double"/>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hair"/>
    </border>
    <border>
      <left>
        <color indexed="63"/>
      </left>
      <right style="double"/>
      <top style="double"/>
      <bottom style="hair"/>
    </border>
    <border>
      <left>
        <color indexed="63"/>
      </left>
      <right>
        <color indexed="63"/>
      </right>
      <top style="double"/>
      <bottom style="double"/>
    </border>
    <border>
      <left style="double"/>
      <right>
        <color indexed="63"/>
      </right>
      <top style="hair"/>
      <bottom style="double"/>
    </border>
    <border>
      <left>
        <color indexed="63"/>
      </left>
      <right>
        <color indexed="63"/>
      </right>
      <top style="hair"/>
      <bottom style="double"/>
    </border>
    <border>
      <left style="double"/>
      <right>
        <color indexed="63"/>
      </right>
      <top style="hair"/>
      <bottom style="hair"/>
    </border>
    <border>
      <left>
        <color indexed="63"/>
      </left>
      <right>
        <color indexed="63"/>
      </right>
      <top style="hair"/>
      <bottom style="hair"/>
    </border>
    <border>
      <left>
        <color indexed="63"/>
      </left>
      <right>
        <color indexed="63"/>
      </right>
      <top style="double"/>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3">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5" fillId="0" borderId="1" xfId="0" applyFont="1" applyBorder="1" applyAlignment="1">
      <alignment vertical="center" wrapText="1"/>
    </xf>
    <xf numFmtId="0" fontId="29" fillId="0" borderId="0" xfId="0" applyFont="1" applyAlignment="1">
      <alignment/>
    </xf>
    <xf numFmtId="0" fontId="30" fillId="0" borderId="0" xfId="0" applyFont="1" applyAlignment="1">
      <alignment/>
    </xf>
    <xf numFmtId="0" fontId="31" fillId="0" borderId="0" xfId="0" applyFont="1" applyAlignment="1">
      <alignment/>
    </xf>
    <xf numFmtId="3" fontId="36" fillId="0" borderId="0" xfId="0" applyNumberFormat="1" applyFont="1" applyAlignment="1">
      <alignment/>
    </xf>
    <xf numFmtId="0" fontId="1" fillId="0" borderId="0" xfId="0" applyFont="1" applyAlignment="1">
      <alignment horizontal="left"/>
    </xf>
    <xf numFmtId="3" fontId="36" fillId="0" borderId="0" xfId="0" applyNumberFormat="1" applyFont="1" applyAlignment="1">
      <alignment wrapText="1"/>
    </xf>
    <xf numFmtId="0" fontId="36" fillId="0" borderId="0" xfId="0" applyFont="1" applyAlignment="1">
      <alignment/>
    </xf>
    <xf numFmtId="0" fontId="23" fillId="0" borderId="0" xfId="0" applyFont="1" applyAlignment="1">
      <alignment/>
    </xf>
    <xf numFmtId="0" fontId="5" fillId="0" borderId="0" xfId="0" applyFont="1" applyAlignment="1">
      <alignment horizontal="left"/>
    </xf>
    <xf numFmtId="0" fontId="35" fillId="0" borderId="0" xfId="0" applyFont="1" applyAlignment="1">
      <alignment horizontal="center" wrapText="1"/>
    </xf>
    <xf numFmtId="0" fontId="4" fillId="0" borderId="0" xfId="0" applyFont="1" applyAlignment="1">
      <alignment/>
    </xf>
    <xf numFmtId="0" fontId="1" fillId="0" borderId="0" xfId="0" applyFont="1" applyAlignment="1">
      <alignment horizontal="center" wrapText="1"/>
    </xf>
    <xf numFmtId="0" fontId="5" fillId="0" borderId="0" xfId="0" applyFont="1" applyAlignment="1">
      <alignment/>
    </xf>
    <xf numFmtId="0" fontId="43" fillId="0" borderId="0" xfId="0" applyFont="1" applyBorder="1" applyAlignment="1">
      <alignment horizontal="center" vertical="center"/>
    </xf>
    <xf numFmtId="0" fontId="43" fillId="2" borderId="0" xfId="0" applyFont="1" applyFill="1" applyBorder="1" applyAlignment="1">
      <alignment horizontal="center" vertical="center" wrapText="1"/>
    </xf>
    <xf numFmtId="0" fontId="44" fillId="2" borderId="0" xfId="0" applyFont="1" applyFill="1" applyBorder="1" applyAlignment="1">
      <alignment horizontal="center"/>
    </xf>
    <xf numFmtId="169" fontId="45" fillId="2" borderId="0" xfId="0" applyNumberFormat="1" applyFont="1" applyFill="1" applyBorder="1" applyAlignment="1">
      <alignment/>
    </xf>
    <xf numFmtId="2" fontId="45" fillId="2" borderId="0" xfId="0" applyNumberFormat="1" applyFont="1" applyFill="1" applyBorder="1" applyAlignment="1">
      <alignment/>
    </xf>
    <xf numFmtId="0" fontId="1" fillId="0" borderId="0" xfId="0" applyFont="1" applyBorder="1" applyAlignment="1">
      <alignment/>
    </xf>
    <xf numFmtId="0" fontId="4" fillId="0" borderId="0" xfId="0" applyFont="1" applyBorder="1" applyAlignment="1">
      <alignment/>
    </xf>
    <xf numFmtId="0" fontId="29" fillId="0" borderId="0" xfId="0" applyFont="1" applyBorder="1" applyAlignment="1">
      <alignment/>
    </xf>
    <xf numFmtId="0" fontId="29" fillId="0" borderId="0" xfId="0" applyNumberFormat="1" applyFont="1" applyBorder="1" applyAlignment="1">
      <alignment vertical="center" wrapText="1"/>
    </xf>
    <xf numFmtId="0" fontId="1" fillId="0" borderId="0" xfId="0" applyFont="1" applyBorder="1" applyAlignment="1">
      <alignment wrapText="1"/>
    </xf>
    <xf numFmtId="3" fontId="29" fillId="0" borderId="0" xfId="0" applyNumberFormat="1" applyFont="1" applyAlignment="1">
      <alignment/>
    </xf>
    <xf numFmtId="0" fontId="9" fillId="2" borderId="0" xfId="0" applyFont="1" applyFill="1" applyBorder="1" applyAlignment="1">
      <alignment horizontal="left"/>
    </xf>
    <xf numFmtId="167" fontId="9" fillId="2" borderId="0" xfId="15" applyNumberFormat="1" applyFont="1" applyFill="1" applyBorder="1" applyAlignment="1">
      <alignment horizontal="center" vertical="center"/>
    </xf>
    <xf numFmtId="0" fontId="52" fillId="0" borderId="0" xfId="0" applyFont="1" applyAlignment="1">
      <alignment/>
    </xf>
    <xf numFmtId="0" fontId="16" fillId="0" borderId="0" xfId="0" applyFont="1" applyAlignment="1">
      <alignment horizontal="right"/>
    </xf>
    <xf numFmtId="0" fontId="0" fillId="0" borderId="0" xfId="0" applyBorder="1" applyAlignment="1">
      <alignment horizontal="left" wrapText="1"/>
    </xf>
    <xf numFmtId="168" fontId="1" fillId="0" borderId="0" xfId="0" applyNumberFormat="1" applyFont="1" applyAlignment="1">
      <alignment/>
    </xf>
    <xf numFmtId="211" fontId="1" fillId="0" borderId="0" xfId="0" applyNumberFormat="1" applyFont="1" applyAlignment="1">
      <alignment/>
    </xf>
    <xf numFmtId="0" fontId="5" fillId="0" borderId="0" xfId="0" applyFont="1" applyBorder="1" applyAlignment="1">
      <alignment horizontal="left"/>
    </xf>
    <xf numFmtId="0" fontId="0" fillId="0" borderId="0" xfId="0" applyBorder="1" applyAlignment="1">
      <alignment horizontal="left"/>
    </xf>
    <xf numFmtId="167" fontId="1" fillId="0" borderId="0" xfId="0" applyNumberFormat="1" applyFont="1" applyAlignment="1">
      <alignment/>
    </xf>
    <xf numFmtId="166" fontId="1" fillId="0" borderId="0" xfId="0" applyNumberFormat="1" applyFont="1" applyAlignment="1">
      <alignment/>
    </xf>
    <xf numFmtId="0" fontId="55" fillId="2" borderId="0" xfId="0" applyFont="1" applyFill="1" applyAlignment="1">
      <alignment/>
    </xf>
    <xf numFmtId="0" fontId="30" fillId="0" borderId="0" xfId="0" applyFont="1" applyAlignment="1">
      <alignment/>
    </xf>
    <xf numFmtId="0" fontId="1" fillId="0" borderId="0" xfId="0" applyFont="1" applyAlignment="1">
      <alignment horizontal="left" vertical="center"/>
    </xf>
    <xf numFmtId="0" fontId="46" fillId="0" borderId="0" xfId="0" applyFont="1" applyAlignment="1">
      <alignment/>
    </xf>
    <xf numFmtId="0" fontId="23" fillId="0" borderId="0" xfId="0" applyFont="1" applyBorder="1" applyAlignment="1">
      <alignment horizontal="justify" wrapText="1"/>
    </xf>
    <xf numFmtId="0" fontId="23" fillId="0" borderId="0" xfId="0" applyFont="1" applyBorder="1" applyAlignment="1">
      <alignment horizontal="left" vertical="center"/>
    </xf>
    <xf numFmtId="0" fontId="1" fillId="2" borderId="0" xfId="0" applyFont="1" applyFill="1" applyBorder="1" applyAlignment="1">
      <alignment/>
    </xf>
    <xf numFmtId="0" fontId="2" fillId="2" borderId="0" xfId="0" applyFont="1" applyFill="1" applyBorder="1" applyAlignment="1">
      <alignment/>
    </xf>
    <xf numFmtId="0" fontId="41" fillId="2" borderId="0" xfId="0" applyFont="1" applyFill="1" applyBorder="1" applyAlignment="1">
      <alignment horizontal="left" vertical="center" wrapText="1"/>
    </xf>
    <xf numFmtId="165" fontId="31" fillId="2" borderId="0" xfId="15" applyNumberFormat="1" applyFont="1" applyFill="1" applyBorder="1" applyAlignment="1">
      <alignment horizontal="right" vertical="center"/>
    </xf>
    <xf numFmtId="0" fontId="2" fillId="0" borderId="0" xfId="0" applyFont="1" applyAlignment="1">
      <alignment horizontal="center"/>
    </xf>
    <xf numFmtId="3" fontId="2" fillId="0" borderId="0" xfId="0" applyNumberFormat="1" applyFont="1" applyAlignment="1">
      <alignment/>
    </xf>
    <xf numFmtId="3" fontId="2" fillId="0" borderId="0" xfId="0" applyNumberFormat="1" applyFont="1" applyAlignment="1">
      <alignment/>
    </xf>
    <xf numFmtId="0" fontId="2" fillId="0" borderId="0" xfId="0" applyFont="1" applyAlignment="1">
      <alignment/>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0" xfId="0" applyFont="1" applyFill="1" applyBorder="1" applyAlignment="1">
      <alignment horizontal="center" vertical="center"/>
    </xf>
    <xf numFmtId="3" fontId="23" fillId="2" borderId="0" xfId="0" applyNumberFormat="1" applyFont="1" applyFill="1" applyBorder="1" applyAlignment="1">
      <alignment horizontal="right" vertical="center"/>
    </xf>
    <xf numFmtId="3" fontId="23" fillId="2" borderId="5" xfId="0" applyNumberFormat="1" applyFont="1" applyFill="1" applyBorder="1" applyAlignment="1">
      <alignment horizontal="right" vertical="center"/>
    </xf>
    <xf numFmtId="0" fontId="61" fillId="2" borderId="6" xfId="0" applyFont="1" applyFill="1" applyBorder="1" applyAlignment="1">
      <alignment horizontal="center" vertical="center"/>
    </xf>
    <xf numFmtId="0" fontId="61" fillId="2" borderId="0" xfId="0" applyFont="1" applyFill="1" applyBorder="1" applyAlignment="1">
      <alignment horizontal="center" vertical="center"/>
    </xf>
    <xf numFmtId="0" fontId="62" fillId="2" borderId="6" xfId="0" applyFont="1" applyFill="1" applyBorder="1" applyAlignment="1">
      <alignment horizontal="center" vertical="center"/>
    </xf>
    <xf numFmtId="0" fontId="62" fillId="2" borderId="0" xfId="0" applyFont="1" applyFill="1" applyBorder="1" applyAlignment="1">
      <alignment horizontal="center" vertical="center"/>
    </xf>
    <xf numFmtId="0" fontId="23" fillId="2" borderId="6" xfId="0" applyFont="1" applyFill="1" applyBorder="1" applyAlignment="1">
      <alignment horizontal="center" vertical="center"/>
    </xf>
    <xf numFmtId="3" fontId="23" fillId="2" borderId="1" xfId="0" applyNumberFormat="1" applyFont="1" applyFill="1" applyBorder="1" applyAlignment="1">
      <alignment horizontal="right" vertical="center"/>
    </xf>
    <xf numFmtId="3" fontId="23" fillId="2" borderId="7" xfId="0" applyNumberFormat="1" applyFont="1" applyFill="1" applyBorder="1" applyAlignment="1">
      <alignment horizontal="right" vertical="center"/>
    </xf>
    <xf numFmtId="0" fontId="33" fillId="2" borderId="0" xfId="0" applyFont="1" applyFill="1" applyBorder="1" applyAlignment="1">
      <alignment horizontal="center" vertical="center"/>
    </xf>
    <xf numFmtId="0" fontId="23" fillId="3" borderId="6" xfId="0" applyFont="1" applyFill="1" applyBorder="1" applyAlignment="1">
      <alignment horizontal="center" vertical="center" wrapText="1"/>
    </xf>
    <xf numFmtId="0" fontId="23" fillId="3" borderId="0" xfId="0" applyFont="1" applyFill="1" applyBorder="1" applyAlignment="1">
      <alignment horizontal="center" vertical="center"/>
    </xf>
    <xf numFmtId="3" fontId="23" fillId="3" borderId="0" xfId="0" applyNumberFormat="1" applyFont="1" applyFill="1" applyBorder="1" applyAlignment="1">
      <alignment horizontal="right" vertical="center"/>
    </xf>
    <xf numFmtId="0" fontId="23" fillId="3" borderId="0" xfId="0" applyFont="1" applyFill="1" applyBorder="1" applyAlignment="1">
      <alignment horizontal="center" vertical="center" wrapText="1"/>
    </xf>
    <xf numFmtId="3" fontId="23" fillId="3" borderId="5" xfId="0" applyNumberFormat="1" applyFont="1" applyFill="1" applyBorder="1" applyAlignment="1">
      <alignment horizontal="right" vertical="center"/>
    </xf>
    <xf numFmtId="0" fontId="23" fillId="3" borderId="6" xfId="0" applyFont="1" applyFill="1" applyBorder="1" applyAlignment="1">
      <alignment horizontal="center" vertical="center"/>
    </xf>
    <xf numFmtId="0" fontId="33" fillId="3" borderId="0" xfId="0" applyFont="1" applyFill="1" applyBorder="1" applyAlignment="1">
      <alignment horizontal="center" vertical="center"/>
    </xf>
    <xf numFmtId="0" fontId="31" fillId="2" borderId="0" xfId="0" applyFont="1" applyFill="1" applyAlignment="1">
      <alignment/>
    </xf>
    <xf numFmtId="0" fontId="63" fillId="0" borderId="0" xfId="0" applyFont="1" applyAlignment="1">
      <alignment/>
    </xf>
    <xf numFmtId="0" fontId="4" fillId="0" borderId="0" xfId="0" applyFont="1" applyAlignment="1">
      <alignment vertical="top"/>
    </xf>
    <xf numFmtId="0" fontId="5" fillId="0" borderId="0" xfId="0" applyFont="1" applyAlignment="1">
      <alignment horizontal="center" vertical="center" wrapText="1"/>
    </xf>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xf>
    <xf numFmtId="0" fontId="35" fillId="0" borderId="0" xfId="0" applyFont="1" applyAlignment="1">
      <alignment/>
    </xf>
    <xf numFmtId="0" fontId="26" fillId="0" borderId="0" xfId="0" applyFont="1" applyAlignment="1">
      <alignment horizontal="center" wrapText="1"/>
    </xf>
    <xf numFmtId="0" fontId="49" fillId="0" borderId="0" xfId="0" applyFont="1" applyAlignment="1">
      <alignment/>
    </xf>
    <xf numFmtId="0" fontId="2" fillId="0" borderId="8" xfId="0" applyFont="1" applyBorder="1" applyAlignment="1">
      <alignment horizontal="center" vertical="center" wrapText="1"/>
    </xf>
    <xf numFmtId="3" fontId="30" fillId="4" borderId="0" xfId="0" applyNumberFormat="1" applyFont="1" applyFill="1" applyAlignment="1">
      <alignment/>
    </xf>
    <xf numFmtId="0" fontId="30" fillId="0" borderId="0" xfId="0" applyFont="1" applyAlignment="1">
      <alignment horizontal="center"/>
    </xf>
    <xf numFmtId="0" fontId="2" fillId="0" borderId="9" xfId="0" applyFont="1" applyBorder="1" applyAlignment="1">
      <alignment/>
    </xf>
    <xf numFmtId="3" fontId="30" fillId="4" borderId="9" xfId="0" applyNumberFormat="1" applyFont="1" applyFill="1" applyBorder="1" applyAlignment="1">
      <alignment/>
    </xf>
    <xf numFmtId="0" fontId="30" fillId="0" borderId="9" xfId="0" applyFont="1" applyBorder="1" applyAlignment="1">
      <alignment horizontal="center"/>
    </xf>
    <xf numFmtId="0" fontId="2" fillId="0" borderId="8" xfId="0" applyFont="1" applyBorder="1" applyAlignment="1">
      <alignment/>
    </xf>
    <xf numFmtId="0" fontId="2" fillId="0" borderId="8" xfId="0" applyFont="1" applyBorder="1" applyAlignment="1">
      <alignment horizontal="center"/>
    </xf>
    <xf numFmtId="170" fontId="30" fillId="0" borderId="8" xfId="0" applyNumberFormat="1" applyFont="1" applyBorder="1" applyAlignment="1">
      <alignment horizontal="center"/>
    </xf>
    <xf numFmtId="0" fontId="30" fillId="0" borderId="8" xfId="0" applyFont="1" applyBorder="1" applyAlignment="1">
      <alignment horizontal="center"/>
    </xf>
    <xf numFmtId="0" fontId="2" fillId="0" borderId="10" xfId="0" applyFont="1" applyBorder="1" applyAlignment="1">
      <alignment horizontal="center"/>
    </xf>
    <xf numFmtId="3" fontId="56" fillId="4" borderId="10" xfId="0" applyNumberFormat="1" applyFont="1" applyFill="1" applyBorder="1" applyAlignment="1">
      <alignment/>
    </xf>
    <xf numFmtId="0" fontId="30" fillId="0" borderId="10" xfId="0" applyFont="1" applyBorder="1" applyAlignment="1">
      <alignment horizontal="center"/>
    </xf>
    <xf numFmtId="0" fontId="2" fillId="0" borderId="0" xfId="0" applyFont="1" applyBorder="1" applyAlignment="1">
      <alignment horizontal="center"/>
    </xf>
    <xf numFmtId="3" fontId="56" fillId="4" borderId="0" xfId="0" applyNumberFormat="1" applyFont="1" applyFill="1" applyBorder="1" applyAlignment="1">
      <alignment/>
    </xf>
    <xf numFmtId="0" fontId="1" fillId="0" borderId="0" xfId="0" applyFont="1" applyBorder="1" applyAlignment="1">
      <alignment/>
    </xf>
    <xf numFmtId="3" fontId="30" fillId="4" borderId="10" xfId="0" applyNumberFormat="1" applyFont="1" applyFill="1" applyBorder="1" applyAlignment="1">
      <alignment/>
    </xf>
    <xf numFmtId="3" fontId="30" fillId="4" borderId="0" xfId="0" applyNumberFormat="1" applyFont="1" applyFill="1" applyBorder="1" applyAlignment="1">
      <alignment/>
    </xf>
    <xf numFmtId="0" fontId="30"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xf>
    <xf numFmtId="170" fontId="30" fillId="0" borderId="10" xfId="0" applyNumberFormat="1" applyFont="1" applyBorder="1" applyAlignment="1">
      <alignment horizontal="center"/>
    </xf>
    <xf numFmtId="3" fontId="30" fillId="4" borderId="10" xfId="0" applyNumberFormat="1" applyFont="1" applyFill="1" applyBorder="1" applyAlignment="1">
      <alignment horizontal="center"/>
    </xf>
    <xf numFmtId="3" fontId="30" fillId="4" borderId="9" xfId="0" applyNumberFormat="1" applyFont="1" applyFill="1" applyBorder="1" applyAlignment="1">
      <alignment horizontal="center"/>
    </xf>
    <xf numFmtId="3" fontId="30" fillId="2" borderId="0" xfId="0" applyNumberFormat="1" applyFont="1" applyFill="1" applyBorder="1" applyAlignment="1">
      <alignment/>
    </xf>
    <xf numFmtId="169" fontId="30" fillId="2" borderId="0" xfId="0" applyNumberFormat="1" applyFont="1" applyFill="1" applyBorder="1" applyAlignment="1">
      <alignment horizontal="center"/>
    </xf>
    <xf numFmtId="4" fontId="30" fillId="4" borderId="8" xfId="0" applyNumberFormat="1" applyFont="1" applyFill="1" applyBorder="1" applyAlignment="1">
      <alignment/>
    </xf>
    <xf numFmtId="3" fontId="30" fillId="4" borderId="8" xfId="0" applyNumberFormat="1" applyFont="1" applyFill="1" applyBorder="1" applyAlignment="1">
      <alignment horizontal="center"/>
    </xf>
    <xf numFmtId="0" fontId="69" fillId="0" borderId="0" xfId="0" applyFont="1" applyAlignment="1">
      <alignment/>
    </xf>
    <xf numFmtId="0" fontId="69" fillId="0" borderId="0" xfId="0" applyFont="1" applyAlignment="1">
      <alignment horizontal="center"/>
    </xf>
    <xf numFmtId="0" fontId="70" fillId="0" borderId="0" xfId="0" applyFont="1" applyAlignment="1">
      <alignment/>
    </xf>
    <xf numFmtId="0" fontId="1" fillId="3" borderId="11" xfId="0" applyFont="1" applyFill="1" applyBorder="1" applyAlignment="1">
      <alignment/>
    </xf>
    <xf numFmtId="0" fontId="2"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165" fontId="4" fillId="3" borderId="16" xfId="15" applyNumberFormat="1" applyFont="1" applyFill="1" applyBorder="1" applyAlignment="1">
      <alignment vertical="center"/>
    </xf>
    <xf numFmtId="165" fontId="4" fillId="3" borderId="17" xfId="15" applyNumberFormat="1" applyFont="1" applyFill="1" applyBorder="1" applyAlignment="1">
      <alignment vertical="center"/>
    </xf>
    <xf numFmtId="0" fontId="2" fillId="3" borderId="18" xfId="0" applyFont="1" applyFill="1" applyBorder="1" applyAlignment="1">
      <alignment vertical="center" wrapText="1"/>
    </xf>
    <xf numFmtId="165" fontId="5" fillId="3" borderId="19" xfId="15" applyNumberFormat="1" applyFont="1" applyFill="1" applyBorder="1" applyAlignment="1">
      <alignment vertical="center"/>
    </xf>
    <xf numFmtId="165" fontId="5" fillId="3" borderId="20" xfId="15" applyNumberFormat="1" applyFont="1" applyFill="1" applyBorder="1" applyAlignment="1">
      <alignment vertical="center"/>
    </xf>
    <xf numFmtId="0" fontId="6" fillId="3" borderId="11" xfId="0" applyFont="1" applyFill="1" applyBorder="1" applyAlignment="1">
      <alignment horizontal="center"/>
    </xf>
    <xf numFmtId="0" fontId="6" fillId="3" borderId="13" xfId="0" applyFont="1" applyFill="1" applyBorder="1" applyAlignment="1">
      <alignment horizontal="center"/>
    </xf>
    <xf numFmtId="0" fontId="6" fillId="3" borderId="18" xfId="0" applyFont="1" applyFill="1" applyBorder="1" applyAlignment="1">
      <alignment horizontal="center"/>
    </xf>
    <xf numFmtId="0" fontId="2" fillId="3" borderId="11" xfId="0" applyFont="1" applyFill="1" applyBorder="1" applyAlignment="1">
      <alignment horizontal="center" wrapText="1"/>
    </xf>
    <xf numFmtId="0" fontId="2" fillId="3" borderId="21" xfId="0" applyFont="1" applyFill="1" applyBorder="1" applyAlignment="1">
      <alignment horizontal="center" vertical="center" wrapText="1"/>
    </xf>
    <xf numFmtId="0" fontId="2" fillId="3" borderId="13" xfId="0" applyFont="1" applyFill="1" applyBorder="1" applyAlignment="1">
      <alignment horizontal="left" wrapText="1"/>
    </xf>
    <xf numFmtId="165" fontId="2" fillId="3" borderId="16" xfId="15" applyNumberFormat="1" applyFont="1" applyFill="1" applyBorder="1" applyAlignment="1">
      <alignment vertical="center"/>
    </xf>
    <xf numFmtId="164" fontId="2" fillId="3" borderId="16" xfId="15" applyNumberFormat="1" applyFont="1" applyFill="1" applyBorder="1" applyAlignment="1">
      <alignment vertical="center"/>
    </xf>
    <xf numFmtId="164" fontId="2" fillId="3" borderId="17" xfId="15" applyNumberFormat="1" applyFont="1" applyFill="1" applyBorder="1" applyAlignment="1">
      <alignment vertical="center"/>
    </xf>
    <xf numFmtId="0" fontId="1" fillId="3" borderId="13" xfId="0" applyFont="1" applyFill="1" applyBorder="1" applyAlignment="1">
      <alignment horizontal="left" vertical="center" wrapText="1"/>
    </xf>
    <xf numFmtId="165" fontId="1" fillId="3" borderId="16" xfId="15" applyNumberFormat="1" applyFont="1" applyFill="1" applyBorder="1" applyAlignment="1">
      <alignment vertical="center"/>
    </xf>
    <xf numFmtId="164" fontId="1" fillId="3" borderId="16" xfId="15" applyNumberFormat="1" applyFont="1" applyFill="1" applyBorder="1" applyAlignment="1">
      <alignment vertical="center"/>
    </xf>
    <xf numFmtId="164" fontId="1" fillId="3" borderId="17" xfId="15" applyNumberFormat="1" applyFont="1" applyFill="1" applyBorder="1" applyAlignment="1">
      <alignment vertical="center"/>
    </xf>
    <xf numFmtId="165" fontId="2" fillId="3" borderId="19" xfId="0" applyNumberFormat="1" applyFont="1" applyFill="1" applyBorder="1" applyAlignment="1">
      <alignment vertical="center"/>
    </xf>
    <xf numFmtId="0" fontId="2" fillId="3" borderId="19" xfId="0" applyFont="1" applyFill="1" applyBorder="1" applyAlignment="1">
      <alignment vertical="center"/>
    </xf>
    <xf numFmtId="164" fontId="2" fillId="3" borderId="20" xfId="15" applyNumberFormat="1" applyFont="1" applyFill="1" applyBorder="1" applyAlignment="1">
      <alignment vertical="center"/>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23" fillId="3" borderId="13" xfId="0" applyFont="1" applyFill="1" applyBorder="1" applyAlignment="1">
      <alignment horizontal="center" vertical="center"/>
    </xf>
    <xf numFmtId="165" fontId="23" fillId="3" borderId="16" xfId="15" applyNumberFormat="1" applyFont="1" applyFill="1" applyBorder="1" applyAlignment="1">
      <alignment horizontal="center" vertical="center"/>
    </xf>
    <xf numFmtId="165" fontId="23" fillId="3" borderId="16" xfId="0" applyNumberFormat="1" applyFont="1" applyFill="1" applyBorder="1" applyAlignment="1">
      <alignment horizontal="center" vertical="center"/>
    </xf>
    <xf numFmtId="164" fontId="23" fillId="3" borderId="16" xfId="0" applyNumberFormat="1" applyFont="1" applyFill="1" applyBorder="1" applyAlignment="1">
      <alignment horizontal="center" vertical="center"/>
    </xf>
    <xf numFmtId="164" fontId="23" fillId="3" borderId="17" xfId="0" applyNumberFormat="1" applyFont="1" applyFill="1" applyBorder="1" applyAlignment="1">
      <alignment horizontal="center" vertical="center"/>
    </xf>
    <xf numFmtId="0" fontId="23" fillId="3" borderId="18" xfId="0" applyFont="1" applyFill="1" applyBorder="1" applyAlignment="1">
      <alignment horizontal="center" vertical="center"/>
    </xf>
    <xf numFmtId="165" fontId="23" fillId="3" borderId="19" xfId="15" applyNumberFormat="1" applyFont="1" applyFill="1" applyBorder="1" applyAlignment="1">
      <alignment horizontal="center" vertical="center"/>
    </xf>
    <xf numFmtId="165" fontId="23" fillId="3" borderId="19" xfId="0" applyNumberFormat="1" applyFont="1" applyFill="1" applyBorder="1" applyAlignment="1">
      <alignment horizontal="center" vertical="center"/>
    </xf>
    <xf numFmtId="164" fontId="23" fillId="3" borderId="19" xfId="0" applyNumberFormat="1" applyFont="1" applyFill="1" applyBorder="1" applyAlignment="1">
      <alignment horizontal="center" vertical="center"/>
    </xf>
    <xf numFmtId="164" fontId="23" fillId="3" borderId="20" xfId="0" applyNumberFormat="1" applyFont="1" applyFill="1" applyBorder="1" applyAlignment="1">
      <alignment horizontal="center" vertical="center"/>
    </xf>
    <xf numFmtId="0" fontId="12" fillId="3" borderId="14"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6"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41" fillId="3" borderId="16" xfId="0" applyFont="1" applyFill="1" applyBorder="1" applyAlignment="1">
      <alignment horizontal="center" vertical="center" wrapText="1"/>
    </xf>
    <xf numFmtId="0" fontId="42" fillId="3" borderId="17" xfId="0" applyFont="1" applyFill="1" applyBorder="1" applyAlignment="1">
      <alignment horizontal="center" vertical="center" wrapText="1"/>
    </xf>
    <xf numFmtId="0" fontId="12" fillId="3" borderId="13" xfId="0" applyFont="1" applyFill="1" applyBorder="1" applyAlignment="1">
      <alignment horizontal="center"/>
    </xf>
    <xf numFmtId="169" fontId="29" fillId="3" borderId="16" xfId="0" applyNumberFormat="1" applyFont="1" applyFill="1" applyBorder="1" applyAlignment="1">
      <alignment/>
    </xf>
    <xf numFmtId="2" fontId="29" fillId="3" borderId="16" xfId="0" applyNumberFormat="1" applyFont="1" applyFill="1" applyBorder="1" applyAlignment="1">
      <alignment/>
    </xf>
    <xf numFmtId="0" fontId="1" fillId="3" borderId="16" xfId="0" applyFont="1" applyFill="1" applyBorder="1" applyAlignment="1">
      <alignment horizontal="center"/>
    </xf>
    <xf numFmtId="0" fontId="1" fillId="3" borderId="17" xfId="0" applyFont="1" applyFill="1" applyBorder="1" applyAlignment="1">
      <alignment horizontal="center"/>
    </xf>
    <xf numFmtId="170" fontId="29" fillId="3" borderId="16" xfId="0" applyNumberFormat="1" applyFont="1" applyFill="1" applyBorder="1" applyAlignment="1">
      <alignment/>
    </xf>
    <xf numFmtId="3" fontId="29" fillId="3" borderId="16" xfId="0" applyNumberFormat="1" applyFont="1" applyFill="1" applyBorder="1" applyAlignment="1">
      <alignment/>
    </xf>
    <xf numFmtId="170" fontId="29" fillId="3" borderId="17" xfId="0" applyNumberFormat="1" applyFont="1" applyFill="1" applyBorder="1" applyAlignment="1">
      <alignment/>
    </xf>
    <xf numFmtId="0" fontId="12" fillId="3" borderId="18" xfId="0" applyFont="1" applyFill="1" applyBorder="1" applyAlignment="1">
      <alignment horizontal="center"/>
    </xf>
    <xf numFmtId="169" fontId="29" fillId="3" borderId="19" xfId="0" applyNumberFormat="1" applyFont="1" applyFill="1" applyBorder="1" applyAlignment="1">
      <alignment/>
    </xf>
    <xf numFmtId="2" fontId="29" fillId="3" borderId="19" xfId="0" applyNumberFormat="1" applyFont="1" applyFill="1" applyBorder="1" applyAlignment="1">
      <alignment/>
    </xf>
    <xf numFmtId="170" fontId="29" fillId="3" borderId="19" xfId="0" applyNumberFormat="1" applyFont="1" applyFill="1" applyBorder="1" applyAlignment="1">
      <alignment/>
    </xf>
    <xf numFmtId="3" fontId="29" fillId="3" borderId="19" xfId="0" applyNumberFormat="1" applyFont="1" applyFill="1" applyBorder="1" applyAlignment="1">
      <alignment/>
    </xf>
    <xf numFmtId="170" fontId="29" fillId="3" borderId="20" xfId="0" applyNumberFormat="1" applyFont="1" applyFill="1" applyBorder="1" applyAlignment="1">
      <alignment/>
    </xf>
    <xf numFmtId="0" fontId="41" fillId="3" borderId="17" xfId="0" applyFont="1" applyFill="1" applyBorder="1" applyAlignment="1">
      <alignment horizontal="center" vertical="center" wrapText="1"/>
    </xf>
    <xf numFmtId="167" fontId="30" fillId="3" borderId="13" xfId="15" applyNumberFormat="1" applyFont="1" applyFill="1" applyBorder="1" applyAlignment="1">
      <alignment vertical="center"/>
    </xf>
    <xf numFmtId="3" fontId="32" fillId="3" borderId="16" xfId="15" applyNumberFormat="1" applyFont="1" applyFill="1" applyBorder="1" applyAlignment="1">
      <alignment horizontal="right" vertical="center"/>
    </xf>
    <xf numFmtId="43" fontId="32" fillId="3" borderId="17" xfId="15" applyFont="1" applyFill="1" applyBorder="1" applyAlignment="1">
      <alignment horizontal="center" vertical="center"/>
    </xf>
    <xf numFmtId="167" fontId="30" fillId="3" borderId="18" xfId="15" applyNumberFormat="1" applyFont="1" applyFill="1" applyBorder="1" applyAlignment="1">
      <alignment vertical="center"/>
    </xf>
    <xf numFmtId="3" fontId="37" fillId="3" borderId="19" xfId="15" applyNumberFormat="1" applyFont="1" applyFill="1" applyBorder="1" applyAlignment="1">
      <alignment horizontal="right" vertical="center"/>
    </xf>
    <xf numFmtId="0" fontId="9" fillId="3" borderId="11" xfId="0" applyFont="1" applyFill="1" applyBorder="1" applyAlignment="1">
      <alignment horizontal="left" vertical="center"/>
    </xf>
    <xf numFmtId="0" fontId="9" fillId="3" borderId="13" xfId="0" applyFont="1" applyFill="1" applyBorder="1" applyAlignment="1">
      <alignment horizontal="left"/>
    </xf>
    <xf numFmtId="168" fontId="49" fillId="3" borderId="16" xfId="15" applyNumberFormat="1" applyFont="1" applyFill="1" applyBorder="1" applyAlignment="1">
      <alignment horizontal="center" vertical="center" wrapText="1"/>
    </xf>
    <xf numFmtId="168" fontId="49" fillId="3" borderId="17" xfId="15" applyNumberFormat="1" applyFont="1" applyFill="1" applyBorder="1" applyAlignment="1">
      <alignment horizontal="center" vertical="center" wrapText="1"/>
    </xf>
    <xf numFmtId="0" fontId="50" fillId="3" borderId="13" xfId="0" applyFont="1" applyFill="1" applyBorder="1" applyAlignment="1">
      <alignment horizontal="left"/>
    </xf>
    <xf numFmtId="168" fontId="51" fillId="3" borderId="16" xfId="15" applyNumberFormat="1" applyFont="1" applyFill="1" applyBorder="1" applyAlignment="1">
      <alignment horizontal="center" vertical="center" wrapText="1"/>
    </xf>
    <xf numFmtId="168" fontId="51" fillId="3" borderId="17" xfId="15" applyNumberFormat="1" applyFont="1" applyFill="1" applyBorder="1" applyAlignment="1">
      <alignment horizontal="center" vertical="center" wrapText="1"/>
    </xf>
    <xf numFmtId="0" fontId="9" fillId="3" borderId="18" xfId="0" applyFont="1" applyFill="1" applyBorder="1" applyAlignment="1">
      <alignment horizontal="left"/>
    </xf>
    <xf numFmtId="168" fontId="9" fillId="3" borderId="19" xfId="0" applyNumberFormat="1" applyFont="1" applyFill="1" applyBorder="1" applyAlignment="1">
      <alignment horizontal="center"/>
    </xf>
    <xf numFmtId="168" fontId="9" fillId="3" borderId="19" xfId="15" applyNumberFormat="1" applyFont="1" applyFill="1" applyBorder="1" applyAlignment="1">
      <alignment horizontal="center" vertical="center"/>
    </xf>
    <xf numFmtId="168" fontId="9" fillId="3" borderId="20" xfId="15" applyNumberFormat="1" applyFont="1" applyFill="1" applyBorder="1" applyAlignment="1">
      <alignment horizontal="center" vertical="center"/>
    </xf>
    <xf numFmtId="0" fontId="9" fillId="3" borderId="11" xfId="0" applyFont="1" applyFill="1" applyBorder="1" applyAlignment="1">
      <alignment horizontal="left"/>
    </xf>
    <xf numFmtId="0" fontId="9" fillId="3" borderId="24" xfId="0" applyFont="1" applyFill="1" applyBorder="1" applyAlignment="1">
      <alignment horizontal="center" vertical="center" wrapText="1"/>
    </xf>
    <xf numFmtId="167" fontId="49" fillId="3" borderId="16" xfId="15" applyNumberFormat="1" applyFont="1" applyFill="1" applyBorder="1" applyAlignment="1">
      <alignment horizontal="center" vertical="center" wrapText="1"/>
    </xf>
    <xf numFmtId="167" fontId="49" fillId="3" borderId="25" xfId="15" applyNumberFormat="1" applyFont="1" applyFill="1" applyBorder="1" applyAlignment="1">
      <alignment horizontal="center" vertical="center" wrapText="1"/>
    </xf>
    <xf numFmtId="167" fontId="49" fillId="3" borderId="17" xfId="15" applyNumberFormat="1" applyFont="1" applyFill="1" applyBorder="1" applyAlignment="1">
      <alignment horizontal="center" vertical="center" wrapText="1"/>
    </xf>
    <xf numFmtId="167" fontId="9" fillId="3" borderId="19" xfId="15" applyNumberFormat="1" applyFont="1" applyFill="1" applyBorder="1" applyAlignment="1">
      <alignment horizontal="center" vertical="center"/>
    </xf>
    <xf numFmtId="167" fontId="9" fillId="3" borderId="20" xfId="15" applyNumberFormat="1" applyFont="1" applyFill="1" applyBorder="1" applyAlignment="1">
      <alignment horizontal="center" vertical="center"/>
    </xf>
    <xf numFmtId="168" fontId="49" fillId="3" borderId="25" xfId="15" applyNumberFormat="1" applyFont="1" applyFill="1" applyBorder="1" applyAlignment="1">
      <alignment horizontal="center" vertical="center" wrapText="1"/>
    </xf>
    <xf numFmtId="168" fontId="51" fillId="3" borderId="25" xfId="15" applyNumberFormat="1" applyFont="1" applyFill="1" applyBorder="1" applyAlignment="1">
      <alignment horizontal="center" vertical="center" wrapText="1"/>
    </xf>
    <xf numFmtId="0" fontId="30" fillId="3" borderId="11" xfId="0" applyFont="1" applyFill="1" applyBorder="1" applyAlignment="1">
      <alignment horizontal="left" vertical="center" wrapText="1"/>
    </xf>
    <xf numFmtId="0" fontId="2" fillId="3" borderId="12" xfId="15" applyNumberFormat="1" applyFont="1" applyFill="1" applyBorder="1" applyAlignment="1">
      <alignment horizontal="center" vertical="center"/>
    </xf>
    <xf numFmtId="0" fontId="30" fillId="3" borderId="12" xfId="0" applyFont="1" applyFill="1" applyBorder="1" applyAlignment="1">
      <alignment horizontal="center" vertical="center" wrapText="1"/>
    </xf>
    <xf numFmtId="0" fontId="30" fillId="3" borderId="13" xfId="0" applyFont="1" applyFill="1" applyBorder="1" applyAlignment="1">
      <alignment horizontal="left" vertical="center" wrapText="1"/>
    </xf>
    <xf numFmtId="165" fontId="2" fillId="3" borderId="16" xfId="15" applyNumberFormat="1" applyFont="1" applyFill="1" applyBorder="1" applyAlignment="1">
      <alignment horizontal="center" vertical="center"/>
    </xf>
    <xf numFmtId="3" fontId="58" fillId="3" borderId="16" xfId="0" applyNumberFormat="1" applyFont="1" applyFill="1" applyBorder="1" applyAlignment="1">
      <alignment horizontal="right" vertical="center" wrapText="1"/>
    </xf>
    <xf numFmtId="3" fontId="26" fillId="3" borderId="16" xfId="0" applyNumberFormat="1" applyFont="1" applyFill="1" applyBorder="1" applyAlignment="1">
      <alignment horizontal="right" vertical="center" wrapText="1"/>
    </xf>
    <xf numFmtId="0" fontId="30" fillId="3" borderId="18" xfId="0" applyFont="1" applyFill="1" applyBorder="1" applyAlignment="1">
      <alignment horizontal="left" vertical="center" wrapText="1"/>
    </xf>
    <xf numFmtId="165" fontId="2" fillId="3" borderId="19" xfId="15" applyNumberFormat="1" applyFont="1" applyFill="1" applyBorder="1" applyAlignment="1">
      <alignment horizontal="center" vertical="center"/>
    </xf>
    <xf numFmtId="0" fontId="32" fillId="3" borderId="13" xfId="0" applyFont="1" applyFill="1" applyBorder="1" applyAlignment="1">
      <alignment/>
    </xf>
    <xf numFmtId="3" fontId="32" fillId="3" borderId="16" xfId="0" applyNumberFormat="1" applyFont="1" applyFill="1" applyBorder="1" applyAlignment="1">
      <alignment horizontal="right"/>
    </xf>
    <xf numFmtId="6" fontId="32" fillId="3" borderId="16" xfId="0" applyNumberFormat="1" applyFont="1" applyFill="1" applyBorder="1" applyAlignment="1">
      <alignment horizontal="right"/>
    </xf>
    <xf numFmtId="42" fontId="32" fillId="3" borderId="16" xfId="15" applyNumberFormat="1" applyFont="1" applyFill="1" applyBorder="1" applyAlignment="1">
      <alignment horizontal="right"/>
    </xf>
    <xf numFmtId="165" fontId="31" fillId="3" borderId="11" xfId="15" applyNumberFormat="1" applyFont="1" applyFill="1" applyBorder="1" applyAlignment="1">
      <alignment horizontal="center" vertical="center"/>
    </xf>
    <xf numFmtId="165" fontId="23" fillId="3" borderId="12" xfId="15" applyNumberFormat="1" applyFont="1" applyFill="1" applyBorder="1" applyAlignment="1">
      <alignment horizontal="center" vertical="center"/>
    </xf>
    <xf numFmtId="165" fontId="23" fillId="3" borderId="21" xfId="15" applyNumberFormat="1" applyFont="1" applyFill="1" applyBorder="1" applyAlignment="1">
      <alignment horizontal="center" vertical="center"/>
    </xf>
    <xf numFmtId="0" fontId="41" fillId="3" borderId="13" xfId="0" applyFont="1" applyFill="1" applyBorder="1" applyAlignment="1">
      <alignment horizontal="left" vertical="center" wrapText="1"/>
    </xf>
    <xf numFmtId="165" fontId="31" fillId="3" borderId="16" xfId="15" applyNumberFormat="1" applyFont="1" applyFill="1" applyBorder="1" applyAlignment="1">
      <alignment horizontal="right" vertical="center"/>
    </xf>
    <xf numFmtId="165" fontId="31" fillId="3" borderId="17" xfId="15" applyNumberFormat="1" applyFont="1" applyFill="1" applyBorder="1" applyAlignment="1">
      <alignment horizontal="right" vertical="center"/>
    </xf>
    <xf numFmtId="0" fontId="41" fillId="3" borderId="18" xfId="0" applyFont="1" applyFill="1" applyBorder="1" applyAlignment="1">
      <alignment horizontal="left" vertical="center" wrapText="1"/>
    </xf>
    <xf numFmtId="165" fontId="31" fillId="3" borderId="19" xfId="15" applyNumberFormat="1" applyFont="1" applyFill="1" applyBorder="1" applyAlignment="1">
      <alignment horizontal="right" vertical="center"/>
    </xf>
    <xf numFmtId="165" fontId="31" fillId="3" borderId="20" xfId="15" applyNumberFormat="1" applyFont="1" applyFill="1" applyBorder="1" applyAlignment="1">
      <alignment horizontal="right" vertical="center"/>
    </xf>
    <xf numFmtId="0" fontId="1" fillId="3" borderId="6" xfId="0" applyFont="1" applyFill="1" applyBorder="1" applyAlignment="1">
      <alignment wrapText="1"/>
    </xf>
    <xf numFmtId="42" fontId="2" fillId="3" borderId="0" xfId="0" applyNumberFormat="1" applyFont="1" applyFill="1" applyBorder="1" applyAlignment="1">
      <alignment horizontal="center" vertical="center" wrapText="1"/>
    </xf>
    <xf numFmtId="2" fontId="2" fillId="3" borderId="0" xfId="0" applyNumberFormat="1" applyFont="1" applyFill="1" applyBorder="1" applyAlignment="1">
      <alignment horizontal="right" vertical="center" wrapText="1"/>
    </xf>
    <xf numFmtId="2" fontId="2" fillId="3" borderId="0" xfId="0" applyNumberFormat="1" applyFont="1" applyFill="1" applyBorder="1" applyAlignment="1">
      <alignment vertical="center" wrapText="1"/>
    </xf>
    <xf numFmtId="0" fontId="1" fillId="3" borderId="0" xfId="0" applyFont="1" applyFill="1" applyBorder="1" applyAlignment="1">
      <alignment wrapText="1"/>
    </xf>
    <xf numFmtId="0" fontId="1" fillId="3" borderId="5" xfId="0" applyFont="1" applyFill="1" applyBorder="1" applyAlignment="1">
      <alignment/>
    </xf>
    <xf numFmtId="0" fontId="1" fillId="3" borderId="6" xfId="0" applyFont="1" applyFill="1" applyBorder="1" applyAlignment="1">
      <alignment/>
    </xf>
    <xf numFmtId="0" fontId="2" fillId="3" borderId="0" xfId="0" applyFont="1" applyFill="1" applyBorder="1" applyAlignment="1">
      <alignment/>
    </xf>
    <xf numFmtId="165" fontId="2" fillId="3" borderId="0" xfId="15" applyNumberFormat="1" applyFont="1" applyFill="1" applyBorder="1" applyAlignment="1">
      <alignment/>
    </xf>
    <xf numFmtId="0" fontId="2" fillId="3" borderId="5" xfId="0" applyFont="1" applyFill="1" applyBorder="1" applyAlignment="1">
      <alignment/>
    </xf>
    <xf numFmtId="0" fontId="1" fillId="3" borderId="6" xfId="0" applyFont="1" applyFill="1" applyBorder="1" applyAlignment="1">
      <alignment horizontal="right"/>
    </xf>
    <xf numFmtId="43" fontId="2" fillId="3" borderId="0" xfId="15" applyNumberFormat="1" applyFont="1" applyFill="1" applyBorder="1" applyAlignment="1">
      <alignment/>
    </xf>
    <xf numFmtId="0" fontId="1" fillId="3" borderId="26" xfId="0" applyFont="1" applyFill="1" applyBorder="1" applyAlignment="1">
      <alignment/>
    </xf>
    <xf numFmtId="0" fontId="2" fillId="3" borderId="1" xfId="0" applyFont="1" applyFill="1" applyBorder="1" applyAlignment="1">
      <alignment/>
    </xf>
    <xf numFmtId="43" fontId="2" fillId="3" borderId="1" xfId="15" applyNumberFormat="1" applyFont="1" applyFill="1" applyBorder="1" applyAlignment="1">
      <alignment/>
    </xf>
    <xf numFmtId="0" fontId="2" fillId="3" borderId="7" xfId="0" applyFont="1" applyFill="1" applyBorder="1" applyAlignment="1">
      <alignment/>
    </xf>
    <xf numFmtId="0" fontId="41" fillId="3" borderId="11" xfId="0" applyFont="1" applyFill="1" applyBorder="1" applyAlignment="1">
      <alignment horizontal="left" vertical="center" wrapText="1"/>
    </xf>
    <xf numFmtId="0" fontId="41" fillId="3" borderId="12" xfId="0"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3" borderId="21" xfId="0" applyFont="1" applyFill="1" applyBorder="1" applyAlignment="1">
      <alignment horizontal="center" vertical="center" wrapText="1"/>
    </xf>
    <xf numFmtId="0" fontId="41" fillId="3" borderId="13" xfId="0" applyFont="1" applyFill="1" applyBorder="1" applyAlignment="1">
      <alignment horizontal="left" vertical="center"/>
    </xf>
    <xf numFmtId="167" fontId="60" fillId="3" borderId="16" xfId="15" applyNumberFormat="1" applyFont="1" applyFill="1" applyBorder="1" applyAlignment="1">
      <alignment horizontal="right" vertical="center"/>
    </xf>
    <xf numFmtId="169" fontId="60" fillId="3" borderId="16" xfId="15" applyNumberFormat="1" applyFont="1" applyFill="1" applyBorder="1" applyAlignment="1">
      <alignment horizontal="right" vertical="center"/>
    </xf>
    <xf numFmtId="167" fontId="60" fillId="3" borderId="16" xfId="15" applyNumberFormat="1" applyFont="1" applyFill="1" applyBorder="1" applyAlignment="1">
      <alignment horizontal="center" vertical="center"/>
    </xf>
    <xf numFmtId="169" fontId="60" fillId="3" borderId="17" xfId="15" applyNumberFormat="1" applyFont="1" applyFill="1" applyBorder="1" applyAlignment="1">
      <alignment horizontal="right" vertical="center"/>
    </xf>
    <xf numFmtId="0" fontId="41" fillId="3" borderId="18" xfId="0" applyFont="1" applyFill="1" applyBorder="1" applyAlignment="1">
      <alignment horizontal="left" vertical="center"/>
    </xf>
    <xf numFmtId="167" fontId="41" fillId="3" borderId="19" xfId="15" applyNumberFormat="1" applyFont="1" applyFill="1" applyBorder="1" applyAlignment="1">
      <alignment horizontal="center" vertical="center"/>
    </xf>
    <xf numFmtId="169" fontId="41" fillId="3" borderId="19" xfId="15" applyNumberFormat="1" applyFont="1" applyFill="1" applyBorder="1" applyAlignment="1">
      <alignment horizontal="right" vertical="center"/>
    </xf>
    <xf numFmtId="168" fontId="41" fillId="3" borderId="20" xfId="15" applyNumberFormat="1" applyFont="1" applyFill="1" applyBorder="1" applyAlignment="1">
      <alignment horizontal="center" vertical="center"/>
    </xf>
    <xf numFmtId="0" fontId="30" fillId="3" borderId="12" xfId="0" applyFont="1" applyFill="1" applyBorder="1" applyAlignment="1">
      <alignment horizontal="center" vertical="center"/>
    </xf>
    <xf numFmtId="3" fontId="30" fillId="3" borderId="27" xfId="15" applyNumberFormat="1" applyFont="1" applyFill="1" applyBorder="1" applyAlignment="1">
      <alignment horizontal="right" vertical="center"/>
    </xf>
    <xf numFmtId="3" fontId="30" fillId="3" borderId="16" xfId="15" applyNumberFormat="1" applyFont="1" applyFill="1" applyBorder="1" applyAlignment="1">
      <alignment horizontal="right" vertical="center"/>
    </xf>
    <xf numFmtId="3" fontId="2" fillId="3" borderId="17" xfId="15" applyNumberFormat="1" applyFont="1" applyFill="1" applyBorder="1" applyAlignment="1">
      <alignment horizontal="right" vertical="center"/>
    </xf>
    <xf numFmtId="167" fontId="30" fillId="3" borderId="19" xfId="15" applyNumberFormat="1" applyFont="1" applyFill="1" applyBorder="1" applyAlignment="1">
      <alignment horizontal="center" vertical="center"/>
    </xf>
    <xf numFmtId="167" fontId="2" fillId="3" borderId="20" xfId="15" applyNumberFormat="1" applyFont="1" applyFill="1" applyBorder="1" applyAlignment="1">
      <alignment horizontal="center" vertical="center"/>
    </xf>
    <xf numFmtId="0" fontId="56" fillId="0" borderId="0" xfId="0" applyFont="1" applyAlignment="1">
      <alignment/>
    </xf>
    <xf numFmtId="0" fontId="2" fillId="4" borderId="13" xfId="0" applyFont="1" applyFill="1" applyBorder="1" applyAlignment="1">
      <alignment horizontal="center" vertical="center"/>
    </xf>
    <xf numFmtId="168" fontId="1" fillId="4" borderId="16" xfId="15" applyNumberFormat="1" applyFont="1" applyFill="1" applyBorder="1" applyAlignment="1">
      <alignment horizontal="right" vertical="center"/>
    </xf>
    <xf numFmtId="169" fontId="1" fillId="4" borderId="16" xfId="15" applyNumberFormat="1" applyFont="1" applyFill="1" applyBorder="1" applyAlignment="1">
      <alignment horizontal="right" vertical="center"/>
    </xf>
    <xf numFmtId="169" fontId="2" fillId="4" borderId="16" xfId="15" applyNumberFormat="1" applyFont="1" applyFill="1" applyBorder="1" applyAlignment="1">
      <alignment horizontal="right" vertical="center"/>
    </xf>
    <xf numFmtId="168" fontId="1" fillId="4" borderId="17" xfId="15" applyNumberFormat="1" applyFont="1" applyFill="1" applyBorder="1" applyAlignment="1">
      <alignment horizontal="right" vertical="center"/>
    </xf>
    <xf numFmtId="0" fontId="2" fillId="4" borderId="13" xfId="0" applyFont="1" applyFill="1" applyBorder="1" applyAlignment="1">
      <alignment horizontal="centerContinuous" vertical="center"/>
    </xf>
    <xf numFmtId="170" fontId="56" fillId="4" borderId="16" xfId="15" applyNumberFormat="1" applyFont="1" applyFill="1" applyBorder="1" applyAlignment="1">
      <alignment horizontal="right" vertical="center"/>
    </xf>
    <xf numFmtId="0" fontId="30" fillId="4" borderId="18" xfId="0" applyFont="1" applyFill="1" applyBorder="1" applyAlignment="1">
      <alignment horizontal="centerContinuous" vertical="center"/>
    </xf>
    <xf numFmtId="168" fontId="56" fillId="4" borderId="19" xfId="15" applyNumberFormat="1" applyFont="1" applyFill="1" applyBorder="1" applyAlignment="1">
      <alignment horizontal="right" vertical="center"/>
    </xf>
    <xf numFmtId="170" fontId="56" fillId="4" borderId="19" xfId="15" applyNumberFormat="1" applyFont="1" applyFill="1" applyBorder="1" applyAlignment="1">
      <alignment horizontal="right" vertical="center"/>
    </xf>
    <xf numFmtId="169" fontId="56" fillId="4" borderId="19" xfId="15" applyNumberFormat="1" applyFont="1" applyFill="1" applyBorder="1" applyAlignment="1">
      <alignment horizontal="right" vertical="center"/>
    </xf>
    <xf numFmtId="169" fontId="30" fillId="4" borderId="19" xfId="15" applyNumberFormat="1" applyFont="1" applyFill="1" applyBorder="1" applyAlignment="1">
      <alignment horizontal="right" vertical="center"/>
    </xf>
    <xf numFmtId="168" fontId="56" fillId="4" borderId="20" xfId="15" applyNumberFormat="1" applyFont="1" applyFill="1" applyBorder="1" applyAlignment="1">
      <alignment horizontal="right" vertical="center"/>
    </xf>
    <xf numFmtId="0" fontId="50" fillId="4" borderId="16" xfId="0" applyFont="1" applyFill="1" applyBorder="1" applyAlignment="1">
      <alignment horizontal="center" vertical="center" wrapText="1"/>
    </xf>
    <xf numFmtId="0" fontId="41" fillId="4" borderId="13" xfId="0" applyFont="1" applyFill="1" applyBorder="1" applyAlignment="1">
      <alignment horizontal="center" vertical="center"/>
    </xf>
    <xf numFmtId="169" fontId="41" fillId="4" borderId="16" xfId="15" applyNumberFormat="1" applyFont="1" applyFill="1" applyBorder="1" applyAlignment="1">
      <alignment horizontal="right" vertical="center"/>
    </xf>
    <xf numFmtId="169" fontId="41" fillId="4" borderId="16" xfId="15" applyNumberFormat="1" applyFont="1" applyFill="1" applyBorder="1" applyAlignment="1">
      <alignment horizontal="center" vertical="center"/>
    </xf>
    <xf numFmtId="169" fontId="41" fillId="4" borderId="17" xfId="15" applyNumberFormat="1" applyFont="1" applyFill="1" applyBorder="1" applyAlignment="1">
      <alignment horizontal="right" vertical="center"/>
    </xf>
    <xf numFmtId="0" fontId="41" fillId="4" borderId="13" xfId="0" applyFont="1" applyFill="1" applyBorder="1" applyAlignment="1">
      <alignment horizontal="centerContinuous" vertical="center"/>
    </xf>
    <xf numFmtId="0" fontId="41" fillId="4" borderId="18" xfId="0" applyFont="1" applyFill="1" applyBorder="1" applyAlignment="1">
      <alignment horizontal="centerContinuous" vertical="center"/>
    </xf>
    <xf numFmtId="169" fontId="41" fillId="4" borderId="19" xfId="15" applyNumberFormat="1" applyFont="1" applyFill="1" applyBorder="1" applyAlignment="1">
      <alignment horizontal="center" vertical="center"/>
    </xf>
    <xf numFmtId="169" fontId="60" fillId="4" borderId="16" xfId="15" applyNumberFormat="1" applyFont="1" applyFill="1" applyBorder="1" applyAlignment="1">
      <alignment horizontal="right" vertical="center"/>
    </xf>
    <xf numFmtId="169" fontId="60" fillId="4" borderId="19" xfId="15" applyNumberFormat="1" applyFont="1" applyFill="1" applyBorder="1" applyAlignment="1">
      <alignment horizontal="right" vertical="center"/>
    </xf>
    <xf numFmtId="169" fontId="60" fillId="4" borderId="17" xfId="15" applyNumberFormat="1" applyFont="1" applyFill="1" applyBorder="1" applyAlignment="1">
      <alignment horizontal="right" vertical="center"/>
    </xf>
    <xf numFmtId="169" fontId="60" fillId="4" borderId="20" xfId="15" applyNumberFormat="1" applyFont="1" applyFill="1" applyBorder="1" applyAlignment="1">
      <alignment horizontal="right" vertical="center"/>
    </xf>
    <xf numFmtId="0" fontId="50" fillId="4" borderId="23" xfId="0" applyFont="1" applyFill="1" applyBorder="1" applyAlignment="1">
      <alignment horizontal="center" vertical="center" wrapText="1"/>
    </xf>
    <xf numFmtId="0" fontId="50" fillId="4" borderId="28" xfId="0" applyFont="1" applyFill="1" applyBorder="1" applyAlignment="1">
      <alignment horizontal="center" vertical="center" wrapText="1"/>
    </xf>
    <xf numFmtId="0" fontId="1" fillId="4" borderId="22" xfId="0" applyFont="1" applyFill="1" applyBorder="1" applyAlignment="1">
      <alignment/>
    </xf>
    <xf numFmtId="0" fontId="1" fillId="4" borderId="29" xfId="0" applyFont="1" applyFill="1" applyBorder="1" applyAlignment="1">
      <alignment/>
    </xf>
    <xf numFmtId="0" fontId="1" fillId="0" borderId="0" xfId="0" applyFont="1" applyAlignment="1">
      <alignment/>
    </xf>
    <xf numFmtId="0" fontId="4" fillId="0" borderId="0" xfId="0" applyFont="1" applyAlignment="1">
      <alignment horizontal="center" vertical="center" wrapText="1"/>
    </xf>
    <xf numFmtId="0" fontId="50" fillId="4" borderId="13" xfId="0" applyFont="1" applyFill="1" applyBorder="1" applyAlignment="1">
      <alignment horizontal="left" vertical="center"/>
    </xf>
    <xf numFmtId="196" fontId="31" fillId="4" borderId="16" xfId="15" applyNumberFormat="1" applyFont="1" applyFill="1" applyBorder="1" applyAlignment="1">
      <alignment horizontal="right"/>
    </xf>
    <xf numFmtId="196" fontId="31" fillId="4" borderId="17" xfId="15" applyNumberFormat="1" applyFont="1" applyFill="1" applyBorder="1" applyAlignment="1">
      <alignment horizontal="right"/>
    </xf>
    <xf numFmtId="0" fontId="50" fillId="4" borderId="18" xfId="0" applyFont="1" applyFill="1" applyBorder="1" applyAlignment="1">
      <alignment horizontal="left" vertical="center"/>
    </xf>
    <xf numFmtId="196" fontId="31" fillId="4" borderId="19" xfId="15" applyNumberFormat="1" applyFont="1" applyFill="1" applyBorder="1" applyAlignment="1">
      <alignment horizontal="right"/>
    </xf>
    <xf numFmtId="196" fontId="31" fillId="4" borderId="20" xfId="15" applyNumberFormat="1" applyFont="1" applyFill="1" applyBorder="1" applyAlignment="1">
      <alignment horizontal="right"/>
    </xf>
    <xf numFmtId="0" fontId="23" fillId="4" borderId="11"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12" xfId="0" applyNumberFormat="1" applyFont="1" applyFill="1" applyBorder="1" applyAlignment="1">
      <alignment horizontal="center" vertical="center" wrapText="1"/>
    </xf>
    <xf numFmtId="0" fontId="9" fillId="4" borderId="21" xfId="0" applyNumberFormat="1" applyFont="1" applyFill="1" applyBorder="1" applyAlignment="1">
      <alignment horizontal="center" vertical="center" wrapText="1"/>
    </xf>
    <xf numFmtId="0" fontId="41" fillId="2" borderId="0" xfId="0" applyFont="1" applyFill="1" applyBorder="1" applyAlignment="1">
      <alignment vertical="center"/>
    </xf>
    <xf numFmtId="0" fontId="50" fillId="2" borderId="0" xfId="0" applyFont="1" applyFill="1" applyBorder="1" applyAlignment="1">
      <alignment vertical="center"/>
    </xf>
    <xf numFmtId="0" fontId="46" fillId="0" borderId="0" xfId="0" applyFont="1" applyAlignment="1">
      <alignment horizontal="center" wrapText="1"/>
    </xf>
    <xf numFmtId="0" fontId="16" fillId="0" borderId="0" xfId="0" applyFont="1" applyAlignment="1">
      <alignment horizontal="center" wrapText="1"/>
    </xf>
    <xf numFmtId="0" fontId="33" fillId="0" borderId="0" xfId="0" applyFont="1" applyAlignment="1">
      <alignment/>
    </xf>
    <xf numFmtId="0" fontId="50" fillId="3" borderId="16" xfId="0" applyFont="1" applyFill="1" applyBorder="1" applyAlignment="1">
      <alignment horizontal="center" vertical="center"/>
    </xf>
    <xf numFmtId="0" fontId="41" fillId="3" borderId="16" xfId="0" applyFont="1" applyFill="1" applyBorder="1" applyAlignment="1">
      <alignment horizontal="center" vertical="center"/>
    </xf>
    <xf numFmtId="0" fontId="41" fillId="3" borderId="17" xfId="0" applyFont="1" applyFill="1" applyBorder="1" applyAlignment="1">
      <alignment horizontal="center" vertical="center"/>
    </xf>
    <xf numFmtId="0" fontId="41" fillId="3" borderId="13" xfId="0" applyFont="1" applyFill="1" applyBorder="1" applyAlignment="1">
      <alignment vertical="center"/>
    </xf>
    <xf numFmtId="3" fontId="31" fillId="3" borderId="16" xfId="0" applyNumberFormat="1" applyFont="1" applyFill="1" applyBorder="1" applyAlignment="1">
      <alignment horizontal="right" vertical="center"/>
    </xf>
    <xf numFmtId="3" fontId="31" fillId="3" borderId="17" xfId="0" applyNumberFormat="1" applyFont="1" applyFill="1" applyBorder="1" applyAlignment="1">
      <alignment horizontal="right" vertical="center"/>
    </xf>
    <xf numFmtId="0" fontId="41" fillId="3" borderId="18" xfId="0" applyFont="1" applyFill="1" applyBorder="1" applyAlignment="1">
      <alignment vertical="center"/>
    </xf>
    <xf numFmtId="3" fontId="23" fillId="3" borderId="19" xfId="0" applyNumberFormat="1" applyFont="1" applyFill="1" applyBorder="1" applyAlignment="1">
      <alignment horizontal="right" vertical="center"/>
    </xf>
    <xf numFmtId="3" fontId="23" fillId="3" borderId="20" xfId="0" applyNumberFormat="1" applyFont="1" applyFill="1" applyBorder="1" applyAlignment="1">
      <alignment horizontal="right" vertical="center"/>
    </xf>
    <xf numFmtId="3" fontId="60" fillId="3" borderId="16" xfId="0" applyNumberFormat="1" applyFont="1" applyFill="1" applyBorder="1" applyAlignment="1">
      <alignment horizontal="right" vertical="center"/>
    </xf>
    <xf numFmtId="3" fontId="41" fillId="3" borderId="19" xfId="0" applyNumberFormat="1" applyFont="1" applyFill="1" applyBorder="1" applyAlignment="1">
      <alignment horizontal="right" vertical="center"/>
    </xf>
    <xf numFmtId="3" fontId="60" fillId="3" borderId="19" xfId="0" applyNumberFormat="1" applyFont="1" applyFill="1" applyBorder="1" applyAlignment="1">
      <alignment horizontal="right" vertical="center"/>
    </xf>
    <xf numFmtId="3" fontId="60" fillId="3" borderId="20" xfId="0" applyNumberFormat="1" applyFont="1" applyFill="1" applyBorder="1" applyAlignment="1">
      <alignment horizontal="right" vertical="center"/>
    </xf>
    <xf numFmtId="0" fontId="73" fillId="0" borderId="0" xfId="0" applyFont="1" applyAlignment="1">
      <alignment horizontal="center" wrapText="1"/>
    </xf>
    <xf numFmtId="0" fontId="4" fillId="3" borderId="0" xfId="0" applyFont="1" applyFill="1" applyBorder="1" applyAlignment="1">
      <alignment/>
    </xf>
    <xf numFmtId="0" fontId="74" fillId="3" borderId="2"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74" fillId="3" borderId="6" xfId="0" applyFont="1" applyFill="1" applyBorder="1" applyAlignment="1">
      <alignment/>
    </xf>
    <xf numFmtId="0" fontId="4" fillId="3" borderId="5" xfId="0" applyFont="1" applyFill="1" applyBorder="1" applyAlignment="1">
      <alignment/>
    </xf>
    <xf numFmtId="0" fontId="1" fillId="0" borderId="0" xfId="0" applyFont="1" applyAlignment="1">
      <alignment horizontal="center"/>
    </xf>
    <xf numFmtId="0" fontId="73" fillId="5" borderId="0" xfId="0" applyFont="1" applyFill="1" applyAlignment="1">
      <alignment horizontal="center"/>
    </xf>
    <xf numFmtId="0" fontId="1" fillId="5" borderId="0" xfId="0" applyFont="1" applyFill="1" applyAlignment="1">
      <alignment horizontal="center"/>
    </xf>
    <xf numFmtId="0" fontId="78" fillId="5" borderId="30" xfId="0" applyFont="1" applyFill="1" applyBorder="1" applyAlignment="1">
      <alignment horizontal="center"/>
    </xf>
    <xf numFmtId="0" fontId="78" fillId="5" borderId="0" xfId="0" applyFont="1" applyFill="1" applyBorder="1" applyAlignment="1">
      <alignment horizontal="center"/>
    </xf>
    <xf numFmtId="0" fontId="79" fillId="5" borderId="31" xfId="0" applyFont="1" applyFill="1" applyBorder="1" applyAlignment="1">
      <alignment horizontal="center"/>
    </xf>
    <xf numFmtId="0" fontId="78" fillId="5" borderId="31" xfId="0" applyFont="1" applyFill="1" applyBorder="1" applyAlignment="1">
      <alignment horizontal="center"/>
    </xf>
    <xf numFmtId="0" fontId="78" fillId="5" borderId="32" xfId="0" applyFont="1" applyFill="1" applyBorder="1" applyAlignment="1">
      <alignment horizontal="center"/>
    </xf>
    <xf numFmtId="0" fontId="78" fillId="5" borderId="33" xfId="0" applyFont="1" applyFill="1" applyBorder="1" applyAlignment="1">
      <alignment horizontal="center"/>
    </xf>
    <xf numFmtId="0" fontId="78" fillId="5" borderId="34" xfId="0" applyFont="1" applyFill="1" applyBorder="1" applyAlignment="1">
      <alignment horizontal="center"/>
    </xf>
    <xf numFmtId="0" fontId="78" fillId="5" borderId="35" xfId="0" applyFont="1" applyFill="1" applyBorder="1" applyAlignment="1">
      <alignment horizontal="center"/>
    </xf>
    <xf numFmtId="0" fontId="78" fillId="5" borderId="36" xfId="0" applyFont="1" applyFill="1" applyBorder="1" applyAlignment="1">
      <alignment horizontal="center"/>
    </xf>
    <xf numFmtId="0" fontId="78" fillId="5" borderId="0" xfId="0" applyFont="1" applyFill="1" applyAlignment="1">
      <alignment horizontal="center"/>
    </xf>
    <xf numFmtId="0" fontId="79" fillId="5" borderId="34" xfId="0" applyFont="1" applyFill="1" applyBorder="1" applyAlignment="1">
      <alignment horizontal="center"/>
    </xf>
    <xf numFmtId="0" fontId="1" fillId="5" borderId="0" xfId="0" applyFont="1" applyFill="1" applyBorder="1" applyAlignment="1">
      <alignment horizontal="center"/>
    </xf>
    <xf numFmtId="0" fontId="80" fillId="5" borderId="0" xfId="0" applyFont="1" applyFill="1" applyBorder="1" applyAlignment="1">
      <alignment horizontal="center"/>
    </xf>
    <xf numFmtId="0" fontId="2" fillId="5" borderId="0" xfId="0" applyFont="1" applyFill="1" applyAlignment="1">
      <alignment horizontal="center"/>
    </xf>
    <xf numFmtId="0" fontId="77" fillId="5" borderId="0" xfId="0" applyFont="1" applyFill="1" applyAlignment="1">
      <alignment/>
    </xf>
    <xf numFmtId="0" fontId="1" fillId="5" borderId="0" xfId="0" applyFont="1" applyFill="1" applyAlignment="1">
      <alignment/>
    </xf>
    <xf numFmtId="0" fontId="78" fillId="5" borderId="0" xfId="0" applyFont="1" applyFill="1" applyBorder="1" applyAlignment="1">
      <alignment horizontal="center" wrapText="1"/>
    </xf>
    <xf numFmtId="0" fontId="1" fillId="4" borderId="0" xfId="0" applyFont="1" applyFill="1" applyAlignment="1">
      <alignment horizontal="left"/>
    </xf>
    <xf numFmtId="0" fontId="2" fillId="4" borderId="37" xfId="0" applyFont="1" applyFill="1" applyBorder="1" applyAlignment="1">
      <alignment horizontal="center" wrapText="1"/>
    </xf>
    <xf numFmtId="0" fontId="2" fillId="4" borderId="37" xfId="0" applyFont="1" applyFill="1" applyBorder="1" applyAlignment="1">
      <alignment wrapText="1"/>
    </xf>
    <xf numFmtId="0" fontId="30" fillId="4" borderId="0" xfId="0" applyFont="1" applyFill="1" applyAlignment="1">
      <alignment horizontal="left" vertical="center" wrapText="1"/>
    </xf>
    <xf numFmtId="0" fontId="2" fillId="4" borderId="0" xfId="0" applyFont="1" applyFill="1" applyAlignment="1">
      <alignment wrapText="1"/>
    </xf>
    <xf numFmtId="0" fontId="2" fillId="4" borderId="0" xfId="0" applyFont="1" applyFill="1" applyAlignment="1">
      <alignment horizontal="center"/>
    </xf>
    <xf numFmtId="0" fontId="2" fillId="4" borderId="0" xfId="0" applyFont="1" applyFill="1" applyAlignment="1" quotePrefix="1">
      <alignment horizontal="center"/>
    </xf>
    <xf numFmtId="0" fontId="2" fillId="4" borderId="0" xfId="0" applyFont="1" applyFill="1" applyAlignment="1" quotePrefix="1">
      <alignment horizontal="right" wrapText="1"/>
    </xf>
    <xf numFmtId="0" fontId="2" fillId="4" borderId="0" xfId="0" applyFont="1" applyFill="1" applyAlignment="1">
      <alignment horizontal="right" wrapText="1"/>
    </xf>
    <xf numFmtId="0" fontId="30" fillId="2" borderId="0" xfId="0" applyFont="1" applyFill="1" applyAlignment="1">
      <alignment horizontal="left" wrapText="1"/>
    </xf>
    <xf numFmtId="0" fontId="2" fillId="2" borderId="0" xfId="0" applyFont="1" applyFill="1" applyAlignment="1">
      <alignment wrapText="1"/>
    </xf>
    <xf numFmtId="0" fontId="2" fillId="2" borderId="0" xfId="0" applyFont="1" applyFill="1" applyAlignment="1" quotePrefix="1">
      <alignment horizontal="center"/>
    </xf>
    <xf numFmtId="0" fontId="52" fillId="2" borderId="0" xfId="0" applyFont="1" applyFill="1" applyAlignment="1">
      <alignment horizontal="center"/>
    </xf>
    <xf numFmtId="0" fontId="1" fillId="2" borderId="0" xfId="0" applyFont="1" applyFill="1" applyAlignment="1">
      <alignment/>
    </xf>
    <xf numFmtId="0" fontId="81" fillId="2" borderId="0" xfId="0" applyFont="1" applyFill="1" applyAlignment="1">
      <alignment/>
    </xf>
    <xf numFmtId="0" fontId="41" fillId="0" borderId="0" xfId="0" applyFont="1" applyAlignment="1">
      <alignment/>
    </xf>
    <xf numFmtId="0" fontId="23" fillId="0" borderId="0" xfId="0" applyFont="1" applyAlignment="1">
      <alignment horizontal="right"/>
    </xf>
    <xf numFmtId="169" fontId="31" fillId="3" borderId="16" xfId="0" applyNumberFormat="1" applyFont="1" applyFill="1" applyBorder="1" applyAlignment="1">
      <alignment horizontal="right" vertical="center"/>
    </xf>
    <xf numFmtId="169" fontId="31" fillId="3" borderId="16" xfId="0" applyNumberFormat="1" applyFont="1" applyFill="1" applyBorder="1" applyAlignment="1">
      <alignment horizontal="center" vertical="center"/>
    </xf>
    <xf numFmtId="184" fontId="31" fillId="3" borderId="16" xfId="0" applyNumberFormat="1" applyFont="1" applyFill="1" applyBorder="1" applyAlignment="1">
      <alignment horizontal="center" vertical="center"/>
    </xf>
    <xf numFmtId="0" fontId="23" fillId="3" borderId="16" xfId="0" applyFont="1" applyFill="1" applyBorder="1" applyAlignment="1">
      <alignment horizontal="center" vertical="center"/>
    </xf>
    <xf numFmtId="169" fontId="31" fillId="3" borderId="17" xfId="0" applyNumberFormat="1" applyFont="1" applyFill="1" applyBorder="1" applyAlignment="1">
      <alignment horizontal="center" vertical="center"/>
    </xf>
    <xf numFmtId="169" fontId="23" fillId="3" borderId="17" xfId="0" applyNumberFormat="1" applyFont="1" applyFill="1" applyBorder="1" applyAlignment="1">
      <alignment horizontal="center" vertical="center"/>
    </xf>
    <xf numFmtId="169" fontId="31" fillId="3" borderId="19" xfId="0" applyNumberFormat="1" applyFont="1" applyFill="1" applyBorder="1" applyAlignment="1">
      <alignment horizontal="right" vertical="center"/>
    </xf>
    <xf numFmtId="169" fontId="31" fillId="3" borderId="19" xfId="0" applyNumberFormat="1" applyFont="1" applyFill="1" applyBorder="1" applyAlignment="1">
      <alignment horizontal="center" vertical="center"/>
    </xf>
    <xf numFmtId="184" fontId="31" fillId="3" borderId="19" xfId="0" applyNumberFormat="1" applyFont="1" applyFill="1" applyBorder="1" applyAlignment="1">
      <alignment horizontal="center" vertical="center"/>
    </xf>
    <xf numFmtId="0" fontId="23" fillId="3" borderId="19" xfId="0" applyFont="1" applyFill="1" applyBorder="1" applyAlignment="1">
      <alignment horizontal="center" vertical="center"/>
    </xf>
    <xf numFmtId="184" fontId="60" fillId="3" borderId="19" xfId="0" applyNumberFormat="1" applyFont="1" applyFill="1" applyBorder="1" applyAlignment="1">
      <alignment horizontal="center" vertical="center"/>
    </xf>
    <xf numFmtId="169" fontId="23" fillId="3" borderId="20" xfId="0" applyNumberFormat="1" applyFont="1" applyFill="1" applyBorder="1" applyAlignment="1">
      <alignment horizontal="center" vertical="center"/>
    </xf>
    <xf numFmtId="0" fontId="100" fillId="0" borderId="0" xfId="0" applyFont="1" applyBorder="1" applyAlignment="1">
      <alignment/>
    </xf>
    <xf numFmtId="0" fontId="43" fillId="2" borderId="0" xfId="0" applyFont="1" applyFill="1" applyBorder="1" applyAlignment="1">
      <alignment horizontal="center" vertical="center"/>
    </xf>
    <xf numFmtId="184" fontId="100" fillId="2" borderId="0" xfId="0" applyNumberFormat="1" applyFont="1" applyFill="1" applyBorder="1" applyAlignment="1">
      <alignment horizontal="center" vertical="center"/>
    </xf>
    <xf numFmtId="165" fontId="32" fillId="3" borderId="17" xfId="15" applyNumberFormat="1" applyFont="1" applyFill="1" applyBorder="1" applyAlignment="1">
      <alignment horizontal="center" vertical="center"/>
    </xf>
    <xf numFmtId="165" fontId="37" fillId="3" borderId="20" xfId="15" applyNumberFormat="1" applyFont="1" applyFill="1" applyBorder="1" applyAlignment="1">
      <alignment horizontal="center" vertical="center"/>
    </xf>
    <xf numFmtId="0" fontId="2" fillId="3" borderId="13" xfId="0" applyFont="1" applyFill="1" applyBorder="1" applyAlignment="1">
      <alignment vertical="center" wrapText="1"/>
    </xf>
    <xf numFmtId="0" fontId="2" fillId="3" borderId="15" xfId="0" applyFont="1" applyFill="1" applyBorder="1" applyAlignment="1">
      <alignment vertical="center"/>
    </xf>
    <xf numFmtId="3" fontId="36" fillId="0" borderId="0" xfId="0" applyNumberFormat="1" applyFont="1" applyBorder="1" applyAlignment="1">
      <alignment/>
    </xf>
    <xf numFmtId="0" fontId="2" fillId="4" borderId="18" xfId="0" applyFont="1" applyFill="1" applyBorder="1" applyAlignment="1">
      <alignment horizontal="centerContinuous" vertical="center"/>
    </xf>
    <xf numFmtId="168" fontId="1" fillId="4" borderId="19" xfId="15" applyNumberFormat="1" applyFont="1" applyFill="1" applyBorder="1" applyAlignment="1">
      <alignment horizontal="right" vertical="center"/>
    </xf>
    <xf numFmtId="169" fontId="1" fillId="4" borderId="19" xfId="15" applyNumberFormat="1" applyFont="1" applyFill="1" applyBorder="1" applyAlignment="1">
      <alignment horizontal="right" vertical="center"/>
    </xf>
    <xf numFmtId="169" fontId="2" fillId="4" borderId="19" xfId="15" applyNumberFormat="1" applyFont="1" applyFill="1" applyBorder="1" applyAlignment="1">
      <alignment horizontal="right" vertical="center"/>
    </xf>
    <xf numFmtId="168" fontId="1" fillId="4" borderId="20" xfId="15" applyNumberFormat="1" applyFont="1" applyFill="1" applyBorder="1" applyAlignment="1">
      <alignment horizontal="right" vertical="center"/>
    </xf>
    <xf numFmtId="0" fontId="0" fillId="0" borderId="6" xfId="0" applyBorder="1" applyAlignment="1">
      <alignment/>
    </xf>
    <xf numFmtId="0" fontId="0" fillId="0" borderId="0" xfId="0" applyBorder="1" applyAlignment="1">
      <alignment/>
    </xf>
    <xf numFmtId="0" fontId="0" fillId="0" borderId="5" xfId="0" applyBorder="1" applyAlignment="1">
      <alignment/>
    </xf>
    <xf numFmtId="0" fontId="5" fillId="0" borderId="11" xfId="0" applyFont="1" applyBorder="1" applyAlignment="1">
      <alignment horizontal="center" vertical="center"/>
    </xf>
    <xf numFmtId="0" fontId="5" fillId="0" borderId="21" xfId="0" applyFont="1" applyBorder="1" applyAlignment="1">
      <alignment horizontal="center" vertical="center"/>
    </xf>
    <xf numFmtId="1" fontId="2" fillId="0" borderId="13" xfId="0" applyNumberFormat="1" applyFont="1" applyBorder="1" applyAlignment="1">
      <alignment horizontal="center"/>
    </xf>
    <xf numFmtId="43" fontId="1" fillId="0" borderId="17" xfId="15" applyFont="1" applyBorder="1" applyAlignment="1">
      <alignment horizontal="center"/>
    </xf>
    <xf numFmtId="43" fontId="1" fillId="0" borderId="20" xfId="15" applyFont="1" applyBorder="1" applyAlignment="1">
      <alignment/>
    </xf>
    <xf numFmtId="1" fontId="23" fillId="0" borderId="18" xfId="0" applyNumberFormat="1" applyFont="1" applyBorder="1" applyAlignment="1">
      <alignment horizontal="center" vertical="center" wrapText="1"/>
    </xf>
    <xf numFmtId="165" fontId="32" fillId="3" borderId="16" xfId="15" applyNumberFormat="1" applyFont="1" applyFill="1" applyBorder="1" applyAlignment="1">
      <alignment horizontal="center" vertical="center"/>
    </xf>
    <xf numFmtId="165" fontId="37" fillId="3" borderId="19" xfId="15" applyNumberFormat="1" applyFont="1" applyFill="1" applyBorder="1" applyAlignment="1">
      <alignment horizontal="center" vertical="center"/>
    </xf>
    <xf numFmtId="165" fontId="4" fillId="3" borderId="27" xfId="15" applyNumberFormat="1" applyFont="1" applyFill="1" applyBorder="1" applyAlignment="1">
      <alignment vertical="center" wrapText="1"/>
    </xf>
    <xf numFmtId="165" fontId="4" fillId="3" borderId="25" xfId="15" applyNumberFormat="1" applyFont="1" applyFill="1" applyBorder="1" applyAlignment="1">
      <alignment vertical="center" wrapText="1"/>
    </xf>
    <xf numFmtId="0" fontId="5" fillId="0" borderId="0" xfId="0" applyFont="1" applyAlignment="1">
      <alignment wrapText="1"/>
    </xf>
    <xf numFmtId="0" fontId="3" fillId="0" borderId="5" xfId="0" applyFont="1" applyBorder="1" applyAlignment="1">
      <alignment vertical="center" wrapText="1"/>
    </xf>
    <xf numFmtId="0" fontId="82" fillId="0" borderId="0" xfId="0" applyFont="1" applyAlignment="1">
      <alignment horizontal="center" vertical="center" wrapText="1"/>
    </xf>
    <xf numFmtId="0" fontId="90" fillId="0" borderId="0" xfId="0" applyFont="1" applyAlignment="1">
      <alignment horizontal="center" vertical="center" wrapText="1"/>
    </xf>
    <xf numFmtId="0" fontId="0" fillId="0" borderId="5" xfId="0" applyBorder="1" applyAlignment="1">
      <alignment vertical="center" wrapText="1"/>
    </xf>
    <xf numFmtId="0" fontId="46" fillId="3" borderId="6" xfId="0" applyFont="1" applyFill="1" applyBorder="1" applyAlignment="1">
      <alignment vertical="center" wrapText="1"/>
    </xf>
    <xf numFmtId="0" fontId="3" fillId="0" borderId="0" xfId="0" applyFont="1" applyBorder="1" applyAlignment="1">
      <alignment vertical="center" wrapText="1"/>
    </xf>
    <xf numFmtId="0" fontId="73" fillId="3" borderId="6" xfId="0" applyFont="1" applyFill="1" applyBorder="1" applyAlignment="1">
      <alignment vertical="center" wrapText="1"/>
    </xf>
    <xf numFmtId="0" fontId="0" fillId="0" borderId="0" xfId="0" applyBorder="1" applyAlignment="1">
      <alignment vertical="center" wrapText="1"/>
    </xf>
    <xf numFmtId="215" fontId="111" fillId="0" borderId="0" xfId="0" applyNumberFormat="1" applyFont="1" applyAlignment="1" quotePrefix="1">
      <alignment horizontal="center" vertical="center" wrapText="1"/>
    </xf>
    <xf numFmtId="215" fontId="111" fillId="0" borderId="0" xfId="0" applyNumberFormat="1" applyFont="1" applyAlignment="1">
      <alignment horizontal="center" vertical="center" wrapText="1"/>
    </xf>
    <xf numFmtId="0" fontId="105" fillId="0" borderId="6"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5" xfId="0" applyFont="1" applyBorder="1" applyAlignment="1">
      <alignment horizontal="center" vertical="center" wrapText="1"/>
    </xf>
    <xf numFmtId="0" fontId="108" fillId="0" borderId="6" xfId="0" applyFont="1" applyBorder="1" applyAlignment="1">
      <alignment horizontal="center" vertical="center" wrapText="1"/>
    </xf>
    <xf numFmtId="0" fontId="108" fillId="0" borderId="0" xfId="0" applyFont="1" applyBorder="1" applyAlignment="1">
      <alignment horizontal="center" vertical="center" wrapText="1"/>
    </xf>
    <xf numFmtId="0" fontId="108" fillId="0" borderId="5" xfId="0" applyFont="1" applyBorder="1" applyAlignment="1">
      <alignment horizontal="center" vertical="center" wrapText="1"/>
    </xf>
    <xf numFmtId="0" fontId="109" fillId="0" borderId="26" xfId="0" applyFont="1" applyBorder="1" applyAlignment="1">
      <alignment horizontal="center" vertical="center" wrapText="1"/>
    </xf>
    <xf numFmtId="0" fontId="109" fillId="0" borderId="1" xfId="0" applyFont="1" applyBorder="1" applyAlignment="1">
      <alignment horizontal="center" vertical="center" wrapText="1"/>
    </xf>
    <xf numFmtId="0" fontId="109" fillId="0" borderId="7" xfId="0" applyFont="1" applyBorder="1" applyAlignment="1">
      <alignment horizontal="center" vertical="center" wrapText="1"/>
    </xf>
    <xf numFmtId="0" fontId="103" fillId="0" borderId="2" xfId="0" applyFont="1" applyBorder="1" applyAlignment="1">
      <alignment horizontal="center" vertical="center" wrapText="1"/>
    </xf>
    <xf numFmtId="0" fontId="103" fillId="0" borderId="3" xfId="0" applyFont="1" applyBorder="1" applyAlignment="1">
      <alignment horizontal="center" vertical="center" wrapText="1"/>
    </xf>
    <xf numFmtId="0" fontId="103" fillId="0" borderId="4" xfId="0" applyFont="1" applyBorder="1" applyAlignment="1">
      <alignment horizontal="center" vertical="center" wrapText="1"/>
    </xf>
    <xf numFmtId="0" fontId="103" fillId="0" borderId="6"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5" xfId="0" applyFont="1" applyBorder="1" applyAlignment="1">
      <alignment horizontal="center" vertical="center" wrapText="1"/>
    </xf>
    <xf numFmtId="0" fontId="104" fillId="0" borderId="6"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5" xfId="0" applyFont="1" applyBorder="1" applyAlignment="1">
      <alignment horizontal="center" vertical="center" wrapText="1"/>
    </xf>
    <xf numFmtId="0" fontId="86" fillId="4" borderId="0" xfId="0" applyFont="1" applyFill="1" applyAlignment="1">
      <alignment horizontal="center" vertical="center" wrapText="1"/>
    </xf>
    <xf numFmtId="0" fontId="87" fillId="4" borderId="0" xfId="0" applyFont="1" applyFill="1" applyAlignment="1">
      <alignment horizontal="center" vertical="center" wrapText="1"/>
    </xf>
    <xf numFmtId="0" fontId="2" fillId="5" borderId="0" xfId="0" applyFont="1" applyFill="1" applyAlignment="1">
      <alignment horizontal="left" wrapText="1"/>
    </xf>
    <xf numFmtId="0" fontId="1" fillId="5" borderId="0" xfId="0" applyFont="1" applyFill="1" applyAlignment="1">
      <alignment horizontal="left" wrapText="1"/>
    </xf>
    <xf numFmtId="0" fontId="82" fillId="5" borderId="0" xfId="0" applyFont="1" applyFill="1" applyAlignment="1">
      <alignment horizontal="center"/>
    </xf>
    <xf numFmtId="0" fontId="78" fillId="5" borderId="38" xfId="0" applyFont="1" applyFill="1" applyBorder="1" applyAlignment="1">
      <alignment horizontal="center" wrapText="1"/>
    </xf>
    <xf numFmtId="0" fontId="1" fillId="5" borderId="39" xfId="0" applyFont="1" applyFill="1" applyBorder="1" applyAlignment="1">
      <alignment horizontal="center" wrapText="1"/>
    </xf>
    <xf numFmtId="0" fontId="73" fillId="3" borderId="26" xfId="0" applyFont="1" applyFill="1"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165" fontId="4" fillId="3" borderId="40" xfId="15" applyNumberFormat="1" applyFont="1" applyFill="1" applyBorder="1" applyAlignment="1">
      <alignment vertical="center" wrapText="1"/>
    </xf>
    <xf numFmtId="165" fontId="6" fillId="3" borderId="41" xfId="15" applyNumberFormat="1" applyFont="1" applyFill="1" applyBorder="1" applyAlignment="1">
      <alignment vertical="center" wrapText="1"/>
    </xf>
    <xf numFmtId="165" fontId="6" fillId="3" borderId="42" xfId="15" applyNumberFormat="1" applyFont="1" applyFill="1" applyBorder="1" applyAlignment="1">
      <alignment vertical="center" wrapText="1"/>
    </xf>
    <xf numFmtId="165" fontId="6" fillId="3" borderId="43" xfId="15" applyNumberFormat="1" applyFont="1" applyFill="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2"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8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3" borderId="1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81" fillId="0" borderId="0" xfId="0" applyFont="1" applyAlignment="1">
      <alignment horizontal="center"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88" fillId="0" borderId="0" xfId="0" applyFont="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2" fillId="0" borderId="3" xfId="0" applyFont="1" applyBorder="1" applyAlignment="1">
      <alignment vertical="center" wrapText="1"/>
    </xf>
    <xf numFmtId="0" fontId="0" fillId="0" borderId="3" xfId="0" applyBorder="1" applyAlignment="1">
      <alignment vertical="center" wrapText="1"/>
    </xf>
    <xf numFmtId="0" fontId="5" fillId="0" borderId="0" xfId="0" applyFont="1" applyBorder="1" applyAlignment="1">
      <alignment vertical="center" wrapText="1"/>
    </xf>
    <xf numFmtId="0" fontId="7" fillId="3" borderId="12"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9" fillId="0" borderId="0" xfId="0" applyNumberFormat="1" applyFont="1" applyFill="1" applyBorder="1" applyAlignment="1">
      <alignment horizontal="justify" wrapText="1"/>
    </xf>
    <xf numFmtId="0" fontId="49" fillId="0" borderId="0" xfId="0" applyFont="1" applyAlignment="1">
      <alignment horizontal="justify" wrapText="1"/>
    </xf>
    <xf numFmtId="0" fontId="23" fillId="3" borderId="44" xfId="0" applyFont="1" applyFill="1" applyBorder="1" applyAlignment="1">
      <alignment horizontal="center" vertical="center" wrapText="1"/>
    </xf>
    <xf numFmtId="0" fontId="23" fillId="3" borderId="45"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23" fillId="3" borderId="47" xfId="0" applyFont="1" applyFill="1" applyBorder="1" applyAlignment="1">
      <alignment horizontal="center" vertical="center" wrapText="1"/>
    </xf>
    <xf numFmtId="0" fontId="49" fillId="0" borderId="0" xfId="0" applyNumberFormat="1" applyFont="1" applyBorder="1" applyAlignment="1">
      <alignment horizontal="justify" wrapText="1"/>
    </xf>
    <xf numFmtId="0" fontId="2" fillId="0" borderId="0" xfId="0" applyNumberFormat="1" applyFont="1" applyFill="1" applyBorder="1" applyAlignment="1">
      <alignment horizontal="justify" wrapText="1"/>
    </xf>
    <xf numFmtId="0" fontId="1" fillId="0" borderId="0" xfId="0" applyNumberFormat="1" applyFont="1" applyBorder="1" applyAlignment="1">
      <alignment horizontal="justify" wrapText="1"/>
    </xf>
    <xf numFmtId="0" fontId="9" fillId="0" borderId="3" xfId="0" applyNumberFormat="1" applyFont="1" applyFill="1" applyBorder="1" applyAlignment="1">
      <alignment horizontal="justify" wrapText="1"/>
    </xf>
    <xf numFmtId="0" fontId="49" fillId="0" borderId="3" xfId="0" applyNumberFormat="1" applyFont="1" applyBorder="1" applyAlignment="1">
      <alignment horizontal="justify" wrapText="1"/>
    </xf>
    <xf numFmtId="0" fontId="96" fillId="0" borderId="0" xfId="0" applyFont="1" applyAlignment="1">
      <alignment horizontal="center" vertical="center" wrapText="1"/>
    </xf>
    <xf numFmtId="0" fontId="85" fillId="0" borderId="0" xfId="0" applyFont="1" applyAlignment="1">
      <alignment horizontal="center" vertical="center" wrapText="1"/>
    </xf>
    <xf numFmtId="0" fontId="93" fillId="0" borderId="0" xfId="0" applyFont="1" applyAlignment="1">
      <alignment horizontal="center" wrapText="1"/>
    </xf>
    <xf numFmtId="0" fontId="85" fillId="0" borderId="0" xfId="0" applyFont="1" applyAlignment="1">
      <alignment horizontal="center" wrapText="1"/>
    </xf>
    <xf numFmtId="0" fontId="23" fillId="3" borderId="12"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72" fillId="3" borderId="4" xfId="0" applyFont="1" applyFill="1" applyBorder="1" applyAlignment="1">
      <alignment/>
    </xf>
    <xf numFmtId="0" fontId="72" fillId="3" borderId="46" xfId="0" applyFont="1" applyFill="1" applyBorder="1" applyAlignment="1">
      <alignment/>
    </xf>
    <xf numFmtId="0" fontId="72" fillId="3" borderId="48" xfId="0" applyFont="1" applyFill="1" applyBorder="1" applyAlignment="1">
      <alignment/>
    </xf>
    <xf numFmtId="0" fontId="23" fillId="3" borderId="11" xfId="0" applyFont="1" applyFill="1" applyBorder="1" applyAlignment="1">
      <alignment horizontal="center" vertical="center" wrapText="1" shrinkToFit="1"/>
    </xf>
    <xf numFmtId="0" fontId="31" fillId="3" borderId="13" xfId="0" applyFont="1" applyFill="1" applyBorder="1" applyAlignment="1">
      <alignment/>
    </xf>
    <xf numFmtId="0" fontId="23" fillId="3" borderId="12" xfId="0" applyFont="1" applyFill="1" applyBorder="1" applyAlignment="1">
      <alignment horizontal="center" vertical="center" wrapText="1" shrinkToFit="1"/>
    </xf>
    <xf numFmtId="0" fontId="31" fillId="3" borderId="16" xfId="0" applyFont="1" applyFill="1" applyBorder="1" applyAlignment="1">
      <alignment horizontal="center" vertical="center" wrapText="1" shrinkToFit="1"/>
    </xf>
    <xf numFmtId="0" fontId="2" fillId="0" borderId="0" xfId="0" applyFont="1" applyBorder="1" applyAlignment="1">
      <alignment horizontal="justify" wrapText="1"/>
    </xf>
    <xf numFmtId="0" fontId="35" fillId="0" borderId="0" xfId="0" applyFont="1" applyAlignment="1">
      <alignment horizontal="center" vertical="center" wrapText="1"/>
    </xf>
    <xf numFmtId="0" fontId="94" fillId="0" borderId="0" xfId="0" applyFont="1" applyAlignment="1">
      <alignment horizontal="center" vertical="center" wrapText="1"/>
    </xf>
    <xf numFmtId="0" fontId="92" fillId="0" borderId="0" xfId="0" applyFont="1" applyAlignment="1">
      <alignment horizontal="center" vertical="center" wrapText="1"/>
    </xf>
    <xf numFmtId="0" fontId="35" fillId="0" borderId="0" xfId="0" applyFont="1" applyAlignment="1">
      <alignment horizontal="center" wrapText="1"/>
    </xf>
    <xf numFmtId="0" fontId="93" fillId="0" borderId="0" xfId="0" applyFont="1" applyAlignment="1">
      <alignment horizontal="center" wrapText="1"/>
    </xf>
    <xf numFmtId="0" fontId="91" fillId="0" borderId="0" xfId="0" applyFont="1" applyAlignment="1">
      <alignment horizontal="center" wrapText="1"/>
    </xf>
    <xf numFmtId="0" fontId="94" fillId="0" borderId="0" xfId="0" applyFont="1" applyAlignment="1">
      <alignment horizontal="center" wrapText="1"/>
    </xf>
    <xf numFmtId="0" fontId="9" fillId="0" borderId="3"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0" fillId="3" borderId="16" xfId="0" applyFill="1" applyBorder="1" applyAlignment="1">
      <alignment horizontal="center" vertical="center" wrapText="1"/>
    </xf>
    <xf numFmtId="0" fontId="2" fillId="3" borderId="12" xfId="0" applyFont="1" applyFill="1" applyBorder="1" applyAlignment="1">
      <alignment horizontal="center" wrapText="1"/>
    </xf>
    <xf numFmtId="0" fontId="1" fillId="3" borderId="12" xfId="0" applyFont="1" applyFill="1" applyBorder="1" applyAlignment="1">
      <alignment horizontal="center" wrapText="1"/>
    </xf>
    <xf numFmtId="0" fontId="23" fillId="3" borderId="12" xfId="0" applyFont="1" applyFill="1" applyBorder="1" applyAlignment="1">
      <alignment horizontal="center" wrapText="1"/>
    </xf>
    <xf numFmtId="0" fontId="23" fillId="3" borderId="21" xfId="0" applyFont="1" applyFill="1" applyBorder="1" applyAlignment="1">
      <alignment horizontal="center" wrapText="1"/>
    </xf>
    <xf numFmtId="0" fontId="81" fillId="0" borderId="0" xfId="0" applyFont="1" applyAlignment="1">
      <alignment horizontal="left" wrapText="1"/>
    </xf>
    <xf numFmtId="0" fontId="93" fillId="0" borderId="0" xfId="0" applyFont="1" applyAlignment="1">
      <alignment horizontal="left" wrapText="1"/>
    </xf>
    <xf numFmtId="0" fontId="5" fillId="0" borderId="1" xfId="0" applyFont="1" applyBorder="1" applyAlignment="1">
      <alignment horizontal="left" wrapText="1"/>
    </xf>
    <xf numFmtId="0" fontId="1" fillId="0" borderId="1" xfId="0" applyFont="1" applyBorder="1" applyAlignment="1">
      <alignment horizontal="left" wrapText="1"/>
    </xf>
    <xf numFmtId="0" fontId="37" fillId="0" borderId="3" xfId="15" applyNumberFormat="1" applyFont="1" applyBorder="1" applyAlignment="1">
      <alignment horizontal="justify" vertical="center" wrapText="1"/>
    </xf>
    <xf numFmtId="0" fontId="29" fillId="0" borderId="3" xfId="0" applyNumberFormat="1" applyFont="1" applyBorder="1" applyAlignment="1">
      <alignment horizontal="justify" vertical="center" wrapText="1"/>
    </xf>
    <xf numFmtId="0" fontId="29" fillId="0" borderId="3" xfId="0" applyFont="1" applyBorder="1" applyAlignment="1">
      <alignment horizontal="justify" wrapText="1"/>
    </xf>
    <xf numFmtId="0" fontId="23" fillId="0" borderId="0" xfId="0" applyFont="1" applyBorder="1" applyAlignment="1">
      <alignment horizontal="left" wrapText="1"/>
    </xf>
    <xf numFmtId="0" fontId="31" fillId="0" borderId="0" xfId="0" applyFont="1" applyAlignment="1">
      <alignment wrapText="1"/>
    </xf>
    <xf numFmtId="0" fontId="46" fillId="3" borderId="12" xfId="0" applyFont="1" applyFill="1" applyBorder="1" applyAlignment="1">
      <alignment horizontal="center" vertical="center" wrapText="1"/>
    </xf>
    <xf numFmtId="0" fontId="0" fillId="3" borderId="12" xfId="0" applyFill="1" applyBorder="1" applyAlignment="1">
      <alignment horizontal="center" vertical="center" wrapText="1"/>
    </xf>
    <xf numFmtId="0" fontId="46" fillId="3" borderId="11" xfId="0" applyFont="1" applyFill="1" applyBorder="1" applyAlignment="1">
      <alignment horizontal="center" vertical="center"/>
    </xf>
    <xf numFmtId="0" fontId="46" fillId="3" borderId="13" xfId="0" applyFont="1" applyFill="1" applyBorder="1" applyAlignment="1">
      <alignment horizontal="center" vertical="center"/>
    </xf>
    <xf numFmtId="0" fontId="0" fillId="3" borderId="21" xfId="0" applyFill="1" applyBorder="1" applyAlignment="1">
      <alignment horizontal="center" vertical="center" wrapText="1"/>
    </xf>
    <xf numFmtId="0" fontId="81" fillId="0" borderId="0" xfId="0" applyFont="1" applyAlignment="1">
      <alignment horizontal="center" vertical="center" wrapText="1"/>
    </xf>
    <xf numFmtId="0" fontId="5" fillId="0" borderId="0" xfId="0" applyFont="1" applyBorder="1" applyAlignment="1">
      <alignment horizontal="left" wrapText="1"/>
    </xf>
    <xf numFmtId="0" fontId="0" fillId="0" borderId="0" xfId="0" applyBorder="1" applyAlignment="1">
      <alignment horizontal="left" wrapText="1"/>
    </xf>
    <xf numFmtId="0" fontId="1" fillId="3" borderId="24" xfId="0" applyFont="1" applyFill="1" applyBorder="1" applyAlignment="1">
      <alignment horizontal="center"/>
    </xf>
    <xf numFmtId="0" fontId="1" fillId="3" borderId="49" xfId="0" applyFont="1" applyFill="1" applyBorder="1" applyAlignment="1">
      <alignment horizontal="center"/>
    </xf>
    <xf numFmtId="0" fontId="26" fillId="3" borderId="25" xfId="0" applyFont="1" applyFill="1" applyBorder="1" applyAlignment="1">
      <alignment horizontal="left" vertical="center"/>
    </xf>
    <xf numFmtId="0" fontId="26" fillId="3" borderId="40" xfId="0" applyFont="1" applyFill="1" applyBorder="1" applyAlignment="1">
      <alignment horizontal="left" vertical="center"/>
    </xf>
    <xf numFmtId="0" fontId="5" fillId="0" borderId="50"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3" borderId="25" xfId="0" applyFont="1" applyFill="1" applyBorder="1" applyAlignment="1">
      <alignment horizontal="left" vertical="center"/>
    </xf>
    <xf numFmtId="0" fontId="2" fillId="3" borderId="40" xfId="0" applyFont="1" applyFill="1" applyBorder="1"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wrapText="1"/>
    </xf>
    <xf numFmtId="0" fontId="2" fillId="3" borderId="41" xfId="0" applyFont="1" applyFill="1" applyBorder="1" applyAlignment="1">
      <alignment horizontal="left" vertical="center" wrapText="1"/>
    </xf>
    <xf numFmtId="0" fontId="2" fillId="3" borderId="43" xfId="0" applyFont="1" applyFill="1" applyBorder="1" applyAlignment="1">
      <alignment horizontal="left" vertical="center" wrapText="1"/>
    </xf>
    <xf numFmtId="42" fontId="30" fillId="3" borderId="16" xfId="15" applyNumberFormat="1" applyFont="1" applyFill="1" applyBorder="1" applyAlignment="1">
      <alignment horizontal="center" vertical="center" wrapText="1"/>
    </xf>
    <xf numFmtId="42" fontId="30" fillId="3" borderId="17" xfId="15" applyNumberFormat="1" applyFont="1" applyFill="1" applyBorder="1" applyAlignment="1">
      <alignment horizontal="center" vertical="center" wrapText="1"/>
    </xf>
    <xf numFmtId="42" fontId="30" fillId="3" borderId="19" xfId="15" applyNumberFormat="1" applyFont="1" applyFill="1" applyBorder="1" applyAlignment="1">
      <alignment horizontal="center" vertical="center" wrapText="1"/>
    </xf>
    <xf numFmtId="42" fontId="30" fillId="3" borderId="20" xfId="15"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0" fillId="3" borderId="19" xfId="0"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56" fillId="3" borderId="16" xfId="0" applyFont="1" applyFill="1" applyBorder="1" applyAlignment="1">
      <alignment horizontal="center" wrapText="1"/>
    </xf>
    <xf numFmtId="0" fontId="0" fillId="3" borderId="16" xfId="0" applyFill="1" applyBorder="1" applyAlignment="1">
      <alignment horizontal="center" wrapText="1"/>
    </xf>
    <xf numFmtId="0" fontId="0" fillId="3" borderId="17" xfId="0" applyFill="1" applyBorder="1" applyAlignment="1">
      <alignment horizontal="center" wrapText="1"/>
    </xf>
    <xf numFmtId="0" fontId="41" fillId="3" borderId="18" xfId="0" applyFont="1" applyFill="1" applyBorder="1" applyAlignment="1">
      <alignment vertical="center" wrapText="1"/>
    </xf>
    <xf numFmtId="0" fontId="0" fillId="3" borderId="19" xfId="0" applyFill="1" applyBorder="1" applyAlignment="1">
      <alignment vertical="center" wrapText="1"/>
    </xf>
    <xf numFmtId="0" fontId="0" fillId="3" borderId="20" xfId="0" applyFill="1" applyBorder="1" applyAlignment="1">
      <alignment vertical="center" wrapText="1"/>
    </xf>
    <xf numFmtId="0" fontId="32" fillId="3" borderId="13" xfId="0" applyFont="1" applyFill="1" applyBorder="1" applyAlignment="1">
      <alignment vertical="center" wrapText="1"/>
    </xf>
    <xf numFmtId="0" fontId="0" fillId="3" borderId="16" xfId="0" applyFill="1" applyBorder="1" applyAlignment="1">
      <alignment vertical="center" wrapText="1"/>
    </xf>
    <xf numFmtId="0" fontId="0" fillId="3" borderId="17" xfId="0" applyFill="1" applyBorder="1" applyAlignment="1">
      <alignment vertical="center" wrapText="1"/>
    </xf>
    <xf numFmtId="0" fontId="37" fillId="3" borderId="11" xfId="0" applyFont="1" applyFill="1" applyBorder="1" applyAlignment="1">
      <alignment vertical="center" wrapText="1"/>
    </xf>
    <xf numFmtId="0" fontId="0" fillId="3" borderId="12" xfId="0" applyFill="1" applyBorder="1" applyAlignment="1">
      <alignment vertical="center" wrapText="1"/>
    </xf>
    <xf numFmtId="0" fontId="0" fillId="3" borderId="21" xfId="0" applyFill="1" applyBorder="1" applyAlignment="1">
      <alignment vertical="center" wrapText="1"/>
    </xf>
    <xf numFmtId="0" fontId="2" fillId="3" borderId="0" xfId="0" applyFont="1" applyFill="1" applyBorder="1" applyAlignment="1">
      <alignment/>
    </xf>
    <xf numFmtId="0" fontId="1" fillId="3" borderId="0" xfId="0" applyFont="1" applyFill="1" applyBorder="1" applyAlignment="1">
      <alignment/>
    </xf>
    <xf numFmtId="0" fontId="2" fillId="3" borderId="0" xfId="0" applyFont="1" applyFill="1" applyBorder="1" applyAlignment="1">
      <alignment wrapText="1"/>
    </xf>
    <xf numFmtId="0" fontId="1" fillId="3" borderId="0" xfId="0" applyFont="1" applyFill="1" applyBorder="1" applyAlignment="1">
      <alignment wrapText="1"/>
    </xf>
    <xf numFmtId="0" fontId="4" fillId="0" borderId="0" xfId="0" applyFont="1" applyBorder="1" applyAlignment="1">
      <alignment vertical="center" wrapText="1"/>
    </xf>
    <xf numFmtId="0" fontId="2" fillId="3" borderId="2" xfId="0" applyFont="1" applyFill="1" applyBorder="1" applyAlignment="1">
      <alignment horizontal="center" wrapText="1"/>
    </xf>
    <xf numFmtId="0" fontId="1" fillId="3" borderId="3" xfId="0" applyFont="1" applyFill="1" applyBorder="1" applyAlignment="1">
      <alignment wrapText="1"/>
    </xf>
    <xf numFmtId="0" fontId="1" fillId="3" borderId="4" xfId="0" applyFont="1" applyFill="1" applyBorder="1" applyAlignment="1">
      <alignment wrapText="1"/>
    </xf>
    <xf numFmtId="0" fontId="1" fillId="3" borderId="5" xfId="0" applyFont="1" applyFill="1" applyBorder="1" applyAlignment="1">
      <alignment wrapText="1"/>
    </xf>
    <xf numFmtId="0" fontId="23" fillId="2" borderId="0"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5" fillId="0" borderId="1" xfId="0" applyFont="1" applyBorder="1" applyAlignment="1">
      <alignment vertical="center" wrapText="1"/>
    </xf>
    <xf numFmtId="0" fontId="10" fillId="0" borderId="1" xfId="0" applyFont="1" applyBorder="1" applyAlignment="1">
      <alignment vertical="center" wrapText="1"/>
    </xf>
    <xf numFmtId="0" fontId="23" fillId="2" borderId="6"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81" fillId="0" borderId="0" xfId="0" applyFont="1" applyAlignment="1">
      <alignment vertical="top" wrapText="1"/>
    </xf>
    <xf numFmtId="0" fontId="88" fillId="0" borderId="0" xfId="0" applyFont="1" applyAlignment="1">
      <alignment vertical="top" wrapText="1"/>
    </xf>
    <xf numFmtId="0" fontId="31" fillId="2" borderId="0" xfId="0" applyFont="1" applyFill="1" applyBorder="1" applyAlignment="1">
      <alignment horizontal="center" vertical="center" wrapText="1"/>
    </xf>
    <xf numFmtId="0" fontId="95" fillId="0" borderId="0" xfId="0" applyFont="1" applyAlignment="1">
      <alignment horizontal="center" vertical="center" wrapText="1"/>
    </xf>
    <xf numFmtId="0" fontId="81" fillId="2" borderId="0" xfId="0" applyFont="1" applyFill="1" applyAlignment="1">
      <alignment horizontal="center" vertical="center" wrapText="1"/>
    </xf>
    <xf numFmtId="0" fontId="30" fillId="3" borderId="14"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51" xfId="0" applyFont="1" applyFill="1" applyBorder="1" applyAlignment="1">
      <alignment horizontal="left" vertical="center" wrapText="1"/>
    </xf>
    <xf numFmtId="0" fontId="0" fillId="3" borderId="52" xfId="0" applyFill="1" applyBorder="1" applyAlignment="1">
      <alignment horizontal="left" vertical="center" wrapText="1"/>
    </xf>
    <xf numFmtId="0" fontId="0" fillId="3" borderId="42" xfId="0" applyFill="1" applyBorder="1" applyAlignment="1">
      <alignment horizontal="left" vertical="center" wrapText="1"/>
    </xf>
    <xf numFmtId="0" fontId="30" fillId="3" borderId="53" xfId="0" applyFont="1" applyFill="1" applyBorder="1" applyAlignment="1">
      <alignment horizontal="left" vertical="center" wrapText="1"/>
    </xf>
    <xf numFmtId="0" fontId="0" fillId="3" borderId="54" xfId="0" applyFill="1" applyBorder="1" applyAlignment="1">
      <alignment horizontal="left" vertical="center" wrapText="1"/>
    </xf>
    <xf numFmtId="0" fontId="0" fillId="3" borderId="27" xfId="0" applyFill="1" applyBorder="1" applyAlignment="1">
      <alignment horizontal="left" vertical="center" wrapText="1"/>
    </xf>
    <xf numFmtId="0" fontId="81" fillId="0" borderId="0" xfId="0" applyFont="1" applyAlignment="1">
      <alignment horizontal="center" wrapText="1"/>
    </xf>
    <xf numFmtId="0" fontId="88" fillId="0" borderId="0" xfId="0" applyFont="1" applyAlignment="1">
      <alignment horizontal="center" wrapText="1"/>
    </xf>
    <xf numFmtId="0" fontId="34" fillId="0" borderId="0" xfId="0" applyFont="1" applyAlignment="1">
      <alignment horizontal="center" wrapText="1"/>
    </xf>
    <xf numFmtId="0" fontId="29" fillId="0" borderId="0" xfId="0" applyFont="1" applyAlignment="1">
      <alignment horizontal="center" wrapText="1"/>
    </xf>
    <xf numFmtId="0" fontId="2" fillId="0" borderId="8" xfId="0" applyFont="1" applyBorder="1" applyAlignment="1">
      <alignment horizontal="center"/>
    </xf>
    <xf numFmtId="0" fontId="4" fillId="0" borderId="0" xfId="0" applyFont="1" applyBorder="1" applyAlignment="1">
      <alignment horizontal="justify" wrapText="1"/>
    </xf>
    <xf numFmtId="0" fontId="2" fillId="0" borderId="10" xfId="0" applyFont="1" applyBorder="1" applyAlignment="1">
      <alignment horizontal="center"/>
    </xf>
    <xf numFmtId="0" fontId="4" fillId="0" borderId="10" xfId="0" applyFont="1" applyBorder="1" applyAlignment="1">
      <alignment horizontal="justify" wrapText="1"/>
    </xf>
    <xf numFmtId="0" fontId="1" fillId="0" borderId="0" xfId="0" applyFont="1" applyBorder="1" applyAlignment="1">
      <alignment horizontal="justify" wrapText="1"/>
    </xf>
    <xf numFmtId="169" fontId="9" fillId="4" borderId="12" xfId="15" applyNumberFormat="1" applyFont="1" applyFill="1" applyBorder="1" applyAlignment="1">
      <alignment horizontal="center" vertical="center" wrapText="1"/>
    </xf>
    <xf numFmtId="169" fontId="9" fillId="4" borderId="16" xfId="15"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6" xfId="0" applyFont="1" applyFill="1" applyBorder="1" applyAlignment="1">
      <alignment horizontal="center" vertical="center" wrapText="1"/>
    </xf>
    <xf numFmtId="169" fontId="9" fillId="4" borderId="22" xfId="15" applyNumberFormat="1" applyFont="1" applyFill="1" applyBorder="1" applyAlignment="1">
      <alignment horizontal="center" vertical="center"/>
    </xf>
    <xf numFmtId="169" fontId="9" fillId="4" borderId="23" xfId="15" applyNumberFormat="1" applyFont="1" applyFill="1" applyBorder="1" applyAlignment="1">
      <alignment horizontal="center" vertical="center"/>
    </xf>
    <xf numFmtId="0" fontId="9" fillId="4" borderId="11" xfId="0" applyFont="1" applyFill="1" applyBorder="1" applyAlignment="1">
      <alignment horizontal="center" vertical="center"/>
    </xf>
    <xf numFmtId="0" fontId="9" fillId="4" borderId="13" xfId="0" applyFont="1" applyFill="1" applyBorder="1" applyAlignment="1">
      <alignment horizontal="center" vertical="center"/>
    </xf>
    <xf numFmtId="0" fontId="1" fillId="0" borderId="0" xfId="0" applyFont="1" applyBorder="1" applyAlignment="1">
      <alignment wrapText="1"/>
    </xf>
    <xf numFmtId="0" fontId="9" fillId="4" borderId="2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35" fillId="0" borderId="0" xfId="0" applyFont="1" applyAlignment="1">
      <alignment horizontal="center" vertical="center" wrapText="1"/>
    </xf>
    <xf numFmtId="0" fontId="1" fillId="0" borderId="3" xfId="0" applyFont="1" applyBorder="1" applyAlignment="1">
      <alignment horizontal="left" vertical="center"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50" fillId="4" borderId="12" xfId="0" applyFont="1" applyFill="1" applyBorder="1" applyAlignment="1">
      <alignment horizontal="center" vertical="center"/>
    </xf>
    <xf numFmtId="0" fontId="1" fillId="0" borderId="0" xfId="0" applyFont="1" applyAlignment="1">
      <alignment horizontal="justify" wrapText="1"/>
    </xf>
    <xf numFmtId="0" fontId="50" fillId="4" borderId="11" xfId="0" applyFont="1" applyFill="1" applyBorder="1" applyAlignment="1">
      <alignment horizontal="center" vertical="center" wrapText="1"/>
    </xf>
    <xf numFmtId="0" fontId="50" fillId="4" borderId="13" xfId="0" applyFont="1" applyFill="1" applyBorder="1" applyAlignment="1">
      <alignment horizontal="center" vertical="center" wrapText="1"/>
    </xf>
    <xf numFmtId="0" fontId="1" fillId="2" borderId="3" xfId="0" applyFont="1" applyFill="1" applyBorder="1" applyAlignment="1">
      <alignment horizontal="justify" vertical="center"/>
    </xf>
    <xf numFmtId="0" fontId="0" fillId="0" borderId="3" xfId="0" applyFont="1" applyBorder="1" applyAlignment="1">
      <alignment horizontal="justify" vertical="center"/>
    </xf>
    <xf numFmtId="0" fontId="1" fillId="2" borderId="0" xfId="0" applyFont="1" applyFill="1" applyBorder="1" applyAlignment="1">
      <alignment horizontal="justify" vertical="center"/>
    </xf>
    <xf numFmtId="0" fontId="0" fillId="0" borderId="0" xfId="0" applyFont="1" applyBorder="1" applyAlignment="1">
      <alignment horizontal="justify" vertical="center"/>
    </xf>
    <xf numFmtId="0" fontId="41" fillId="3" borderId="12" xfId="0" applyFont="1" applyFill="1" applyBorder="1" applyAlignment="1">
      <alignment horizontal="center" vertical="center"/>
    </xf>
    <xf numFmtId="0" fontId="41" fillId="3" borderId="21" xfId="0" applyFont="1" applyFill="1" applyBorder="1" applyAlignment="1">
      <alignment horizontal="center" vertical="center"/>
    </xf>
    <xf numFmtId="0" fontId="1" fillId="0" borderId="3" xfId="0" applyFont="1" applyBorder="1" applyAlignment="1">
      <alignment vertical="center" wrapText="1" shrinkToFit="1"/>
    </xf>
    <xf numFmtId="0" fontId="0" fillId="0" borderId="3" xfId="0" applyFont="1" applyBorder="1" applyAlignment="1">
      <alignment vertical="center" wrapText="1"/>
    </xf>
    <xf numFmtId="0" fontId="31" fillId="0" borderId="0" xfId="0" applyFont="1" applyAlignment="1">
      <alignment horizontal="justify" vertical="center" wrapText="1"/>
    </xf>
    <xf numFmtId="0" fontId="0" fillId="0" borderId="0" xfId="0" applyAlignment="1">
      <alignment horizontal="justify"/>
    </xf>
    <xf numFmtId="0" fontId="41" fillId="3" borderId="11" xfId="0" applyFont="1" applyFill="1" applyBorder="1" applyAlignment="1">
      <alignment horizontal="center" vertical="center"/>
    </xf>
    <xf numFmtId="0" fontId="41" fillId="3" borderId="13" xfId="0" applyFont="1" applyFill="1" applyBorder="1" applyAlignment="1">
      <alignment horizontal="center" vertical="center"/>
    </xf>
    <xf numFmtId="0" fontId="81" fillId="0" borderId="1" xfId="0" applyFont="1" applyBorder="1" applyAlignment="1">
      <alignment horizontal="right" vertical="center" wrapText="1"/>
    </xf>
    <xf numFmtId="0" fontId="83" fillId="0" borderId="0" xfId="0" applyFont="1" applyAlignment="1">
      <alignment horizontal="center" wrapText="1"/>
    </xf>
    <xf numFmtId="0" fontId="41" fillId="3" borderId="12" xfId="0" applyFont="1" applyFill="1" applyBorder="1" applyAlignment="1">
      <alignment horizontal="center" vertical="center" wrapText="1"/>
    </xf>
    <xf numFmtId="0" fontId="41" fillId="3" borderId="24" xfId="0" applyFont="1" applyFill="1" applyBorder="1" applyAlignment="1">
      <alignment horizontal="center" vertical="center" wrapText="1"/>
    </xf>
    <xf numFmtId="0" fontId="41" fillId="3" borderId="55" xfId="0" applyFont="1" applyFill="1" applyBorder="1" applyAlignment="1">
      <alignment horizontal="center" vertical="center" wrapText="1"/>
    </xf>
    <xf numFmtId="0" fontId="38" fillId="3" borderId="55" xfId="0" applyFont="1" applyFill="1" applyBorder="1" applyAlignment="1">
      <alignment horizontal="center" vertical="center" wrapText="1"/>
    </xf>
    <xf numFmtId="0" fontId="38" fillId="3" borderId="49" xfId="0" applyFont="1" applyFill="1" applyBorder="1" applyAlignment="1">
      <alignment horizontal="center" vertical="center" wrapText="1"/>
    </xf>
    <xf numFmtId="0" fontId="41" fillId="3" borderId="16"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60" fillId="2" borderId="0" xfId="0" applyFont="1" applyFill="1" applyBorder="1" applyAlignment="1">
      <alignment horizontal="justify" vertical="center" wrapText="1"/>
    </xf>
    <xf numFmtId="0" fontId="72" fillId="0" borderId="0" xfId="0" applyFont="1" applyAlignment="1">
      <alignment horizontal="justify" vertical="center" wrapText="1"/>
    </xf>
    <xf numFmtId="165" fontId="41" fillId="3" borderId="16" xfId="15" applyNumberFormat="1" applyFont="1" applyFill="1" applyBorder="1" applyAlignment="1">
      <alignment horizontal="center" vertical="center" wrapText="1"/>
    </xf>
    <xf numFmtId="165" fontId="38" fillId="3" borderId="16" xfId="15" applyNumberFormat="1" applyFont="1" applyFill="1" applyBorder="1" applyAlignment="1">
      <alignment horizontal="center" vertical="center" wrapText="1"/>
    </xf>
    <xf numFmtId="165" fontId="41" fillId="3" borderId="19" xfId="15" applyNumberFormat="1" applyFont="1" applyFill="1" applyBorder="1" applyAlignment="1">
      <alignment horizontal="center" vertical="center" wrapText="1"/>
    </xf>
    <xf numFmtId="165" fontId="38" fillId="3" borderId="19" xfId="15" applyNumberFormat="1" applyFont="1" applyFill="1" applyBorder="1" applyAlignment="1">
      <alignment horizontal="center" vertical="center" wrapText="1"/>
    </xf>
    <xf numFmtId="165" fontId="38" fillId="3" borderId="20" xfId="15" applyNumberFormat="1" applyFont="1" applyFill="1" applyBorder="1" applyAlignment="1">
      <alignment horizontal="center" vertical="center" wrapText="1"/>
    </xf>
    <xf numFmtId="0" fontId="38" fillId="3" borderId="17" xfId="0" applyFont="1" applyFill="1" applyBorder="1" applyAlignment="1">
      <alignment horizontal="center" vertical="center" wrapText="1"/>
    </xf>
    <xf numFmtId="165" fontId="38" fillId="3" borderId="17" xfId="15" applyNumberFormat="1" applyFont="1" applyFill="1" applyBorder="1" applyAlignment="1">
      <alignment horizontal="center" vertic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image" Target="../media/image24.jpeg" /><Relationship Id="rId3" Type="http://schemas.openxmlformats.org/officeDocument/2006/relationships/image" Target="../media/image25.jpeg" /></Relationships>
</file>

<file path=xl/charts/_rels/chart11.xml.rels><?xml version="1.0" encoding="utf-8" standalone="yes"?><Relationships xmlns="http://schemas.openxmlformats.org/package/2006/relationships"><Relationship Id="rId1" Type="http://schemas.openxmlformats.org/officeDocument/2006/relationships/image" Target="../media/image26.jpeg" /><Relationship Id="rId2" Type="http://schemas.openxmlformats.org/officeDocument/2006/relationships/image" Target="../media/image27.jpeg" /><Relationship Id="rId3" Type="http://schemas.openxmlformats.org/officeDocument/2006/relationships/image" Target="../media/image28.jpeg" /></Relationships>
</file>

<file path=xl/charts/_rels/chart12.xml.rels><?xml version="1.0" encoding="utf-8" standalone="yes"?><Relationships xmlns="http://schemas.openxmlformats.org/package/2006/relationships"><Relationship Id="rId1" Type="http://schemas.openxmlformats.org/officeDocument/2006/relationships/image" Target="../media/image29.jpeg" /><Relationship Id="rId2" Type="http://schemas.openxmlformats.org/officeDocument/2006/relationships/image" Target="../media/image30.jpeg" /><Relationship Id="rId3" Type="http://schemas.openxmlformats.org/officeDocument/2006/relationships/image" Target="../media/image31.jpeg" /></Relationships>
</file>

<file path=xl/charts/_rels/chart13.xml.rels><?xml version="1.0" encoding="utf-8" standalone="yes"?><Relationships xmlns="http://schemas.openxmlformats.org/package/2006/relationships"><Relationship Id="rId1" Type="http://schemas.openxmlformats.org/officeDocument/2006/relationships/image" Target="../media/image32.jpeg" /></Relationships>
</file>

<file path=xl/charts/_rels/chart14.xml.rels><?xml version="1.0" encoding="utf-8" standalone="yes"?><Relationships xmlns="http://schemas.openxmlformats.org/package/2006/relationships"><Relationship Id="rId1" Type="http://schemas.openxmlformats.org/officeDocument/2006/relationships/image" Target="../media/image33.jpeg" /></Relationships>
</file>

<file path=xl/charts/_rels/chart15.xml.rels><?xml version="1.0" encoding="utf-8" standalone="yes"?><Relationships xmlns="http://schemas.openxmlformats.org/package/2006/relationships"><Relationship Id="rId1" Type="http://schemas.openxmlformats.org/officeDocument/2006/relationships/image" Target="../media/image34.jpeg" /><Relationship Id="rId2" Type="http://schemas.openxmlformats.org/officeDocument/2006/relationships/image" Target="../media/image35.jpeg" /></Relationships>
</file>

<file path=xl/charts/_rels/chart16.xml.rels><?xml version="1.0" encoding="utf-8" standalone="yes"?><Relationships xmlns="http://schemas.openxmlformats.org/package/2006/relationships"><Relationship Id="rId1" Type="http://schemas.openxmlformats.org/officeDocument/2006/relationships/image" Target="../media/image36.jpeg" /><Relationship Id="rId2" Type="http://schemas.openxmlformats.org/officeDocument/2006/relationships/image" Target="../media/image37.jpeg" /></Relationships>
</file>

<file path=xl/charts/_rels/chart17.xml.rels><?xml version="1.0" encoding="utf-8" standalone="yes"?><Relationships xmlns="http://schemas.openxmlformats.org/package/2006/relationships"><Relationship Id="rId1" Type="http://schemas.openxmlformats.org/officeDocument/2006/relationships/image" Target="../media/image38.jpeg" /></Relationships>
</file>

<file path=xl/charts/_rels/chart18.xml.rels><?xml version="1.0" encoding="utf-8" standalone="yes"?><Relationships xmlns="http://schemas.openxmlformats.org/package/2006/relationships"><Relationship Id="rId1" Type="http://schemas.openxmlformats.org/officeDocument/2006/relationships/image" Target="../media/image39.jpeg" /></Relationships>
</file>

<file path=xl/charts/_rels/chart19.xml.rels><?xml version="1.0" encoding="utf-8" standalone="yes"?><Relationships xmlns="http://schemas.openxmlformats.org/package/2006/relationships"><Relationship Id="rId1" Type="http://schemas.openxmlformats.org/officeDocument/2006/relationships/image" Target="../media/image40.jpeg" /><Relationship Id="rId2" Type="http://schemas.openxmlformats.org/officeDocument/2006/relationships/image" Target="../media/image41.jpeg" /><Relationship Id="rId3" Type="http://schemas.openxmlformats.org/officeDocument/2006/relationships/image" Target="../media/image42.jpeg"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5.xml" /><Relationship Id="rId2" Type="http://schemas.openxmlformats.org/officeDocument/2006/relationships/image" Target="../media/image44.jpeg" /><Relationship Id="rId3" Type="http://schemas.openxmlformats.org/officeDocument/2006/relationships/image" Target="../media/image45.jpeg" /><Relationship Id="rId4" Type="http://schemas.openxmlformats.org/officeDocument/2006/relationships/image" Target="../media/image46.jpeg" /></Relationships>
</file>

<file path=xl/charts/_rels/chart21.xml.rels><?xml version="1.0" encoding="utf-8" standalone="yes"?><Relationships xmlns="http://schemas.openxmlformats.org/package/2006/relationships"><Relationship Id="rId1" Type="http://schemas.openxmlformats.org/officeDocument/2006/relationships/image" Target="../media/image48.jpeg" /><Relationship Id="rId2" Type="http://schemas.openxmlformats.org/officeDocument/2006/relationships/image" Target="../media/image49.jpeg" /></Relationships>
</file>

<file path=xl/charts/_rels/chart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 Id="rId3" Type="http://schemas.openxmlformats.org/officeDocument/2006/relationships/image" Target="../media/image8.jpeg" /></Relationships>
</file>

<file path=xl/charts/_rels/chart5.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charts/_rels/chart6.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charts/_rels/chart8.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charts/_rels/chart9.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2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
          <c:w val="0.962"/>
          <c:h val="0.88875"/>
        </c:manualLayout>
      </c:layout>
      <c:lineChart>
        <c:grouping val="standard"/>
        <c:varyColors val="0"/>
        <c:ser>
          <c:idx val="0"/>
          <c:order val="0"/>
          <c:tx>
            <c:strRef>
              <c:f>'[1]8'!$B$4</c:f>
              <c:strCache>
                <c:ptCount val="1"/>
                <c:pt idx="0">
                  <c:v>SSK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00"/>
                </a:solidFill>
              </a:ln>
            </c:spPr>
          </c:marker>
          <c:cat>
            <c:strRef>
              <c:f>'[1]8'!$A$5:$A$11</c:f>
              <c:strCache>
                <c:ptCount val="7"/>
                <c:pt idx="0">
                  <c:v>1999</c:v>
                </c:pt>
                <c:pt idx="1">
                  <c:v>2000</c:v>
                </c:pt>
                <c:pt idx="2">
                  <c:v>2001</c:v>
                </c:pt>
                <c:pt idx="3">
                  <c:v>2002</c:v>
                </c:pt>
                <c:pt idx="4">
                  <c:v>2003</c:v>
                </c:pt>
                <c:pt idx="5">
                  <c:v>2004</c:v>
                </c:pt>
                <c:pt idx="6">
                  <c:v>2005(**)</c:v>
                </c:pt>
              </c:strCache>
            </c:strRef>
          </c:cat>
          <c:val>
            <c:numRef>
              <c:f>'[1]8'!$B$5:$B$11</c:f>
              <c:numCache>
                <c:ptCount val="7"/>
                <c:pt idx="0">
                  <c:v>1111000</c:v>
                </c:pt>
                <c:pt idx="1">
                  <c:v>400000</c:v>
                </c:pt>
                <c:pt idx="2">
                  <c:v>1108000</c:v>
                </c:pt>
                <c:pt idx="3">
                  <c:v>2386000</c:v>
                </c:pt>
                <c:pt idx="4">
                  <c:v>4808617</c:v>
                </c:pt>
                <c:pt idx="5">
                  <c:v>5757000</c:v>
                </c:pt>
                <c:pt idx="6">
                  <c:v>6593000</c:v>
                </c:pt>
              </c:numCache>
            </c:numRef>
          </c:val>
          <c:smooth val="1"/>
        </c:ser>
        <c:ser>
          <c:idx val="1"/>
          <c:order val="1"/>
          <c:tx>
            <c:strRef>
              <c:f>'[1]8'!$C$4</c:f>
              <c:strCache>
                <c:ptCount val="1"/>
                <c:pt idx="0">
                  <c:v>BAĞ - KUR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solidFill>
                <a:srgbClr val="FF0000"/>
              </a:solidFill>
              <a:ln>
                <a:solidFill>
                  <a:srgbClr val="FF0000"/>
                </a:solidFill>
              </a:ln>
            </c:spPr>
          </c:marker>
          <c:cat>
            <c:strRef>
              <c:f>'[1]8'!$A$5:$A$11</c:f>
              <c:strCache>
                <c:ptCount val="7"/>
                <c:pt idx="0">
                  <c:v>1999</c:v>
                </c:pt>
                <c:pt idx="1">
                  <c:v>2000</c:v>
                </c:pt>
                <c:pt idx="2">
                  <c:v>2001</c:v>
                </c:pt>
                <c:pt idx="3">
                  <c:v>2002</c:v>
                </c:pt>
                <c:pt idx="4">
                  <c:v>2003</c:v>
                </c:pt>
                <c:pt idx="5">
                  <c:v>2004</c:v>
                </c:pt>
                <c:pt idx="6">
                  <c:v>2005(**)</c:v>
                </c:pt>
              </c:strCache>
            </c:strRef>
          </c:cat>
          <c:val>
            <c:numRef>
              <c:f>'[1]8'!$C$5:$C$11</c:f>
              <c:numCache>
                <c:ptCount val="7"/>
                <c:pt idx="0">
                  <c:v>796145</c:v>
                </c:pt>
                <c:pt idx="1">
                  <c:v>1051460</c:v>
                </c:pt>
                <c:pt idx="2">
                  <c:v>1740000</c:v>
                </c:pt>
                <c:pt idx="3">
                  <c:v>2622000</c:v>
                </c:pt>
                <c:pt idx="4">
                  <c:v>4930000</c:v>
                </c:pt>
                <c:pt idx="5">
                  <c:v>5273000</c:v>
                </c:pt>
                <c:pt idx="6">
                  <c:v>6926000</c:v>
                </c:pt>
              </c:numCache>
            </c:numRef>
          </c:val>
          <c:smooth val="0"/>
        </c:ser>
        <c:ser>
          <c:idx val="2"/>
          <c:order val="2"/>
          <c:tx>
            <c:strRef>
              <c:f>'[1]8'!$D$4</c:f>
              <c:strCache>
                <c:ptCount val="1"/>
                <c:pt idx="0">
                  <c:v> EMEKLİ SANDIĞI</c:v>
                </c:pt>
              </c:strCache>
            </c:strRef>
          </c:tx>
          <c:spPr>
            <a:ln w="254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a:effectLst>
                <a:outerShdw dist="35921" dir="2700000" algn="br">
                  <a:prstClr val="black"/>
                </a:outerShdw>
              </a:effectLst>
            </c:spPr>
          </c:marker>
          <c:cat>
            <c:strRef>
              <c:f>'[1]8'!$A$5:$A$11</c:f>
              <c:strCache>
                <c:ptCount val="7"/>
                <c:pt idx="0">
                  <c:v>1999</c:v>
                </c:pt>
                <c:pt idx="1">
                  <c:v>2000</c:v>
                </c:pt>
                <c:pt idx="2">
                  <c:v>2001</c:v>
                </c:pt>
                <c:pt idx="3">
                  <c:v>2002</c:v>
                </c:pt>
                <c:pt idx="4">
                  <c:v>2003</c:v>
                </c:pt>
                <c:pt idx="5">
                  <c:v>2004</c:v>
                </c:pt>
                <c:pt idx="6">
                  <c:v>2005(**)</c:v>
                </c:pt>
              </c:strCache>
            </c:strRef>
          </c:cat>
          <c:val>
            <c:numRef>
              <c:f>'[1]8'!$D$5:$D$11</c:f>
              <c:numCache>
                <c:ptCount val="7"/>
                <c:pt idx="0">
                  <c:v>1035000</c:v>
                </c:pt>
                <c:pt idx="1">
                  <c:v>1775000</c:v>
                </c:pt>
                <c:pt idx="2">
                  <c:v>2675000</c:v>
                </c:pt>
                <c:pt idx="3">
                  <c:v>4676000</c:v>
                </c:pt>
                <c:pt idx="4">
                  <c:v>6145000</c:v>
                </c:pt>
                <c:pt idx="5">
                  <c:v>7800000</c:v>
                </c:pt>
                <c:pt idx="6">
                  <c:v>8889300</c:v>
                </c:pt>
              </c:numCache>
            </c:numRef>
          </c:val>
          <c:smooth val="1"/>
        </c:ser>
        <c:marker val="1"/>
        <c:axId val="20104564"/>
        <c:axId val="46723349"/>
      </c:lineChart>
      <c:catAx>
        <c:axId val="20104564"/>
        <c:scaling>
          <c:orientation val="minMax"/>
        </c:scaling>
        <c:axPos val="b"/>
        <c:delete val="0"/>
        <c:numFmt formatCode="General" sourceLinked="1"/>
        <c:majorTickMark val="out"/>
        <c:minorTickMark val="none"/>
        <c:tickLblPos val="nextTo"/>
        <c:txPr>
          <a:bodyPr/>
          <a:lstStyle/>
          <a:p>
            <a:pPr>
              <a:defRPr lang="en-US" cap="none" sz="800" b="1" i="0" u="none" baseline="0"/>
            </a:pPr>
          </a:p>
        </c:txPr>
        <c:crossAx val="46723349"/>
        <c:crosses val="autoZero"/>
        <c:auto val="1"/>
        <c:lblOffset val="100"/>
        <c:noMultiLvlLbl val="0"/>
      </c:catAx>
      <c:valAx>
        <c:axId val="46723349"/>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2010456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Arial Tur"/>
          <a:ea typeface="Arial Tur"/>
          <a:cs typeface="Arial Tu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7 - SSK, BAĞ-KUR VE EMEKLİ SANDIĞINA YAPILAN BÜTÇE TRANSFERLERİ</a:t>
            </a:r>
          </a:p>
        </c:rich>
      </c:tx>
      <c:layout/>
      <c:spPr>
        <a:noFill/>
        <a:ln>
          <a:noFill/>
        </a:ln>
      </c:spPr>
    </c:title>
    <c:plotArea>
      <c:layout>
        <c:manualLayout>
          <c:xMode val="edge"/>
          <c:yMode val="edge"/>
          <c:x val="0.0165"/>
          <c:y val="0.17175"/>
          <c:w val="0.967"/>
          <c:h val="0.74475"/>
        </c:manualLayout>
      </c:layout>
      <c:lineChart>
        <c:grouping val="standard"/>
        <c:varyColors val="0"/>
        <c:ser>
          <c:idx val="0"/>
          <c:order val="0"/>
          <c:tx>
            <c:strRef>
              <c:f>8!$B$4</c:f>
              <c:strCache>
                <c:ptCount val="1"/>
                <c:pt idx="0">
                  <c:v>SSK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00"/>
                </a:solidFill>
              </a:ln>
            </c:spPr>
          </c:marker>
          <c:cat>
            <c:strRef>
              <c:f>8!$A$5:$A$11</c:f>
              <c:strCache/>
            </c:strRef>
          </c:cat>
          <c:val>
            <c:numRef>
              <c:f>8!$B$5:$B$11</c:f>
              <c:numCache/>
            </c:numRef>
          </c:val>
          <c:smooth val="1"/>
        </c:ser>
        <c:ser>
          <c:idx val="1"/>
          <c:order val="1"/>
          <c:tx>
            <c:strRef>
              <c:f>8!$C$4</c:f>
              <c:strCache>
                <c:ptCount val="1"/>
                <c:pt idx="0">
                  <c:v>BAĞ - KUR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solidFill>
                <a:srgbClr val="FF0000"/>
              </a:solidFill>
              <a:ln>
                <a:solidFill>
                  <a:srgbClr val="FF0000"/>
                </a:solidFill>
              </a:ln>
            </c:spPr>
          </c:marker>
          <c:cat>
            <c:strRef>
              <c:f>8!$A$5:$A$11</c:f>
              <c:strCache/>
            </c:strRef>
          </c:cat>
          <c:val>
            <c:numRef>
              <c:f>8!$C$5:$C$11</c:f>
              <c:numCache/>
            </c:numRef>
          </c:val>
          <c:smooth val="0"/>
        </c:ser>
        <c:ser>
          <c:idx val="2"/>
          <c:order val="2"/>
          <c:tx>
            <c:strRef>
              <c:f>8!$D$4</c:f>
              <c:strCache>
                <c:ptCount val="1"/>
                <c:pt idx="0">
                  <c:v> EMEKLİ SANDIĞI</c:v>
                </c:pt>
              </c:strCache>
            </c:strRef>
          </c:tx>
          <c:spPr>
            <a:ln w="254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a:effectLst>
                <a:outerShdw dist="35921" dir="2700000" algn="br">
                  <a:prstClr val="black"/>
                </a:outerShdw>
              </a:effectLst>
            </c:spPr>
          </c:marker>
          <c:cat>
            <c:strRef>
              <c:f>8!$A$5:$A$11</c:f>
              <c:strCache/>
            </c:strRef>
          </c:cat>
          <c:val>
            <c:numRef>
              <c:f>8!$D$5:$D$11</c:f>
              <c:numCache/>
            </c:numRef>
          </c:val>
          <c:smooth val="1"/>
        </c:ser>
        <c:marker val="1"/>
        <c:axId val="55649422"/>
        <c:axId val="31082751"/>
      </c:lineChart>
      <c:catAx>
        <c:axId val="55649422"/>
        <c:scaling>
          <c:orientation val="minMax"/>
        </c:scaling>
        <c:axPos val="b"/>
        <c:title>
          <c:tx>
            <c:rich>
              <a:bodyPr vert="horz" rot="0" anchor="ctr"/>
              <a:lstStyle/>
              <a:p>
                <a:pPr algn="ctr">
                  <a:defRPr/>
                </a:pPr>
                <a:r>
                  <a:rPr lang="en-US" cap="none" sz="800" b="1" i="0" u="none" baseline="0">
                    <a:latin typeface="Arial Tur"/>
                    <a:ea typeface="Arial Tur"/>
                    <a:cs typeface="Arial Tur"/>
                  </a:rPr>
                  <a:t>Milyar TL</a:t>
                </a:r>
              </a:p>
            </c:rich>
          </c:tx>
          <c:layout>
            <c:manualLayout>
              <c:xMode val="factor"/>
              <c:yMode val="factor"/>
              <c:x val="0.2615"/>
              <c:y val="-0.1155"/>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pPr>
          </a:p>
        </c:txPr>
        <c:crossAx val="31082751"/>
        <c:crosses val="autoZero"/>
        <c:auto val="1"/>
        <c:lblOffset val="100"/>
        <c:noMultiLvlLbl val="0"/>
      </c:catAx>
      <c:valAx>
        <c:axId val="31082751"/>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1" i="0" u="none" baseline="0"/>
            </a:pPr>
          </a:p>
        </c:txPr>
        <c:crossAx val="55649422"/>
        <c:crossesAt val="1"/>
        <c:crossBetween val="between"/>
        <c:dispUnits/>
      </c:valAx>
      <c:spPr>
        <a:blipFill>
          <a:blip r:embed="rId1"/>
          <a:srcRect/>
          <a:tile sx="100000" sy="100000" flip="none" algn="tl"/>
        </a:blipFill>
        <a:ln w="3175">
          <a:noFill/>
        </a:ln>
      </c:spPr>
    </c:plotArea>
    <c:legend>
      <c:legendPos val="b"/>
      <c:layout>
        <c:manualLayout>
          <c:xMode val="edge"/>
          <c:yMode val="edge"/>
          <c:x val="0"/>
          <c:y val="0.921"/>
          <c:w val="0.8815"/>
          <c:h val="0.0687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8 - Prim Tahakkuk,Tahsilat ve Tahsilat Oranı</a:t>
            </a:r>
          </a:p>
        </c:rich>
      </c:tx>
      <c:layout/>
      <c:spPr>
        <a:noFill/>
        <a:ln>
          <a:noFill/>
        </a:ln>
      </c:spPr>
    </c:title>
    <c:plotArea>
      <c:layout>
        <c:manualLayout>
          <c:xMode val="edge"/>
          <c:yMode val="edge"/>
          <c:x val="0.0085"/>
          <c:y val="0.1415"/>
          <c:w val="0.9755"/>
          <c:h val="0.75925"/>
        </c:manualLayout>
      </c:layout>
      <c:barChart>
        <c:barDir val="col"/>
        <c:grouping val="clustered"/>
        <c:varyColors val="0"/>
        <c:ser>
          <c:idx val="1"/>
          <c:order val="0"/>
          <c:tx>
            <c:strRef>
              <c:f>9!$K$6</c:f>
              <c:strCache>
                <c:ptCount val="1"/>
                <c:pt idx="0">
                  <c:v>TAHAKKUK</c:v>
                </c:pt>
              </c:strCache>
            </c:strRef>
          </c:tx>
          <c:spPr>
            <a:solidFill>
              <a:srgbClr val="33CCCC"/>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9!$J$7:$J$19</c:f>
              <c:numCache/>
            </c:numRef>
          </c:cat>
          <c:val>
            <c:numRef>
              <c:f>9!$K$7:$K$19</c:f>
              <c:numCache/>
            </c:numRef>
          </c:val>
        </c:ser>
        <c:ser>
          <c:idx val="0"/>
          <c:order val="1"/>
          <c:tx>
            <c:strRef>
              <c:f>9!$L$6</c:f>
              <c:strCache>
                <c:ptCount val="1"/>
                <c:pt idx="0">
                  <c:v>TAHSİLAT</c:v>
                </c:pt>
              </c:strCache>
            </c:strRef>
          </c:tx>
          <c:spPr>
            <a:solidFill>
              <a:srgbClr val="FFFF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9!$J$7:$J$19</c:f>
              <c:numCache/>
            </c:numRef>
          </c:cat>
          <c:val>
            <c:numRef>
              <c:f>9!$L$7:$L$19</c:f>
              <c:numCache/>
            </c:numRef>
          </c:val>
        </c:ser>
        <c:axId val="11309304"/>
        <c:axId val="34674873"/>
      </c:barChart>
      <c:lineChart>
        <c:grouping val="standard"/>
        <c:varyColors val="0"/>
        <c:ser>
          <c:idx val="2"/>
          <c:order val="2"/>
          <c:tx>
            <c:strRef>
              <c:f>9!$M$6</c:f>
              <c:strCache>
                <c:ptCount val="1"/>
                <c:pt idx="0">
                  <c:v>TAHSİLAT ORANI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pPr>
              </a:p>
            </c:txPr>
            <c:dLblPos val="r"/>
            <c:showLegendKey val="0"/>
            <c:showVal val="1"/>
            <c:showBubbleSize val="0"/>
            <c:showCatName val="0"/>
            <c:showSerName val="0"/>
            <c:showLeaderLines val="1"/>
            <c:showPercent val="0"/>
          </c:dLbls>
          <c:cat>
            <c:numRef>
              <c:f>9!$J$7:$J$19</c:f>
              <c:numCache/>
            </c:numRef>
          </c:cat>
          <c:val>
            <c:numRef>
              <c:f>9!$M$7:$M$19</c:f>
              <c:numCache/>
            </c:numRef>
          </c:val>
          <c:smooth val="1"/>
        </c:ser>
        <c:axId val="43638402"/>
        <c:axId val="57201299"/>
      </c:lineChart>
      <c:catAx>
        <c:axId val="11309304"/>
        <c:scaling>
          <c:orientation val="minMax"/>
        </c:scaling>
        <c:axPos val="b"/>
        <c:title>
          <c:tx>
            <c:rich>
              <a:bodyPr vert="horz" rot="0" anchor="ctr"/>
              <a:lstStyle/>
              <a:p>
                <a:pPr algn="ctr">
                  <a:defRPr/>
                </a:pPr>
                <a:r>
                  <a:rPr lang="en-US" cap="none" sz="1000" b="1" i="0" u="none" baseline="0"/>
                  <a:t>Trilyon TL </a:t>
                </a:r>
              </a:p>
            </c:rich>
          </c:tx>
          <c:layout>
            <c:manualLayout>
              <c:xMode val="factor"/>
              <c:yMode val="factor"/>
              <c:x val="0.2525"/>
              <c:y val="-0.1065"/>
            </c:manualLayout>
          </c:layout>
          <c:overlay val="0"/>
          <c:spPr>
            <a:noFill/>
            <a:ln>
              <a:noFill/>
            </a:ln>
          </c:spPr>
        </c:title>
        <c:delete val="0"/>
        <c:numFmt formatCode="General" sourceLinked="1"/>
        <c:majorTickMark val="in"/>
        <c:minorTickMark val="none"/>
        <c:tickLblPos val="nextTo"/>
        <c:spPr>
          <a:ln w="25400">
            <a:solidFill/>
          </a:ln>
        </c:spPr>
        <c:txPr>
          <a:bodyPr/>
          <a:lstStyle/>
          <a:p>
            <a:pPr>
              <a:defRPr lang="en-US" cap="none" sz="800" b="1" i="0" u="none" baseline="0"/>
            </a:pPr>
          </a:p>
        </c:txPr>
        <c:crossAx val="34674873"/>
        <c:crosses val="autoZero"/>
        <c:auto val="0"/>
        <c:lblOffset val="100"/>
        <c:noMultiLvlLbl val="0"/>
      </c:catAx>
      <c:valAx>
        <c:axId val="34674873"/>
        <c:scaling>
          <c:orientation val="minMax"/>
        </c:scaling>
        <c:axPos val="l"/>
        <c:delete val="0"/>
        <c:numFmt formatCode="#,##0" sourceLinked="0"/>
        <c:majorTickMark val="in"/>
        <c:minorTickMark val="none"/>
        <c:tickLblPos val="nextTo"/>
        <c:spPr>
          <a:ln w="25400">
            <a:solidFill/>
          </a:ln>
        </c:spPr>
        <c:txPr>
          <a:bodyPr/>
          <a:lstStyle/>
          <a:p>
            <a:pPr>
              <a:defRPr lang="en-US" cap="none" sz="800" b="1" i="0" u="none" baseline="0"/>
            </a:pPr>
          </a:p>
        </c:txPr>
        <c:crossAx val="11309304"/>
        <c:crossesAt val="1"/>
        <c:crossBetween val="between"/>
        <c:dispUnits/>
      </c:valAx>
      <c:catAx>
        <c:axId val="43638402"/>
        <c:scaling>
          <c:orientation val="minMax"/>
        </c:scaling>
        <c:axPos val="b"/>
        <c:title>
          <c:tx>
            <c:rich>
              <a:bodyPr vert="horz" rot="0" anchor="ctr"/>
              <a:lstStyle/>
              <a:p>
                <a:pPr algn="ctr">
                  <a:defRPr/>
                </a:pPr>
                <a:r>
                  <a:rPr lang="en-US" cap="none" sz="900" b="1" i="0" u="none" baseline="0"/>
                  <a:t>Tahsilat Oranı ( % )</a:t>
                </a:r>
              </a:p>
            </c:rich>
          </c:tx>
          <c:layout>
            <c:manualLayout>
              <c:xMode val="factor"/>
              <c:yMode val="factor"/>
              <c:x val="0.0095"/>
              <c:y val="0.09375"/>
            </c:manualLayout>
          </c:layout>
          <c:overlay val="0"/>
          <c:spPr>
            <a:noFill/>
            <a:ln>
              <a:noFill/>
            </a:ln>
          </c:spPr>
        </c:title>
        <c:delete val="1"/>
        <c:majorTickMark val="in"/>
        <c:minorTickMark val="none"/>
        <c:tickLblPos val="nextTo"/>
        <c:crossAx val="57201299"/>
        <c:crosses val="autoZero"/>
        <c:auto val="0"/>
        <c:lblOffset val="100"/>
        <c:noMultiLvlLbl val="0"/>
      </c:catAx>
      <c:valAx>
        <c:axId val="57201299"/>
        <c:scaling>
          <c:orientation val="minMax"/>
          <c:min val="0"/>
        </c:scaling>
        <c:axPos val="l"/>
        <c:delete val="0"/>
        <c:numFmt formatCode="General" sourceLinked="1"/>
        <c:majorTickMark val="in"/>
        <c:minorTickMark val="none"/>
        <c:tickLblPos val="nextTo"/>
        <c:txPr>
          <a:bodyPr/>
          <a:lstStyle/>
          <a:p>
            <a:pPr>
              <a:defRPr lang="en-US" cap="none" sz="800" b="1" i="0" u="none" baseline="0"/>
            </a:pPr>
          </a:p>
        </c:txPr>
        <c:crossAx val="43638402"/>
        <c:crosses val="max"/>
        <c:crossBetween val="between"/>
        <c:dispUnits/>
        <c:majorUnit val="10"/>
      </c:valAx>
      <c:spPr>
        <a:blipFill>
          <a:blip r:embed="rId1"/>
          <a:srcRect/>
          <a:tile sx="100000" sy="100000" flip="none" algn="tl"/>
        </a:blipFill>
        <a:ln w="3175">
          <a:noFill/>
        </a:ln>
      </c:spPr>
    </c:plotArea>
    <c:legend>
      <c:legendPos val="b"/>
      <c:layout>
        <c:manualLayout>
          <c:xMode val="edge"/>
          <c:yMode val="edge"/>
          <c:x val="0.0145"/>
          <c:y val="0.949"/>
          <c:w val="0.896"/>
          <c:h val="0.043"/>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9 - 2005 Yılı Prim Gelirlerinin Emekli Ödemelerini Karşılama Oranı                            </a:t>
            </a:r>
            <a:r>
              <a:rPr lang="en-US" cap="none" sz="1200" b="0" i="1" u="none" baseline="0">
                <a:solidFill>
                  <a:srgbClr val="0000FF"/>
                </a:solidFill>
              </a:rPr>
              <a:t>( Compensation rate of Pension Payments by Premium incomes )</a:t>
            </a:r>
          </a:p>
        </c:rich>
      </c:tx>
      <c:layout/>
      <c:spPr>
        <a:noFill/>
        <a:ln>
          <a:noFill/>
        </a:ln>
      </c:spPr>
    </c:title>
    <c:plotArea>
      <c:layout>
        <c:manualLayout>
          <c:xMode val="edge"/>
          <c:yMode val="edge"/>
          <c:x val="0.01525"/>
          <c:y val="0.221"/>
          <c:w val="0.98475"/>
          <c:h val="0.59275"/>
        </c:manualLayout>
      </c:layout>
      <c:barChart>
        <c:barDir val="col"/>
        <c:grouping val="clustered"/>
        <c:varyColors val="0"/>
        <c:ser>
          <c:idx val="1"/>
          <c:order val="0"/>
          <c:tx>
            <c:strRef>
              <c:f>'10'!$B$3:$B$4</c:f>
              <c:strCache>
                <c:ptCount val="1"/>
                <c:pt idx="0">
                  <c:v> 2005 YILI  PRİM GELİRLERİ</c:v>
                </c:pt>
              </c:strCache>
            </c:strRef>
          </c:tx>
          <c:spPr>
            <a:gradFill rotWithShape="1">
              <a:gsLst>
                <a:gs pos="0">
                  <a:srgbClr val="FFFF00"/>
                </a:gs>
                <a:gs pos="100000">
                  <a:srgbClr val="7575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'10'!$A$5:$A$16</c:f>
              <c:strCache/>
            </c:strRef>
          </c:cat>
          <c:val>
            <c:numRef>
              <c:f>'10'!$B$5:$B$16</c:f>
              <c:numCache/>
            </c:numRef>
          </c:val>
        </c:ser>
        <c:ser>
          <c:idx val="0"/>
          <c:order val="1"/>
          <c:tx>
            <c:strRef>
              <c:f>'10'!$C$3:$C$4</c:f>
              <c:strCache>
                <c:ptCount val="1"/>
                <c:pt idx="0">
                  <c:v> 2005 YILI  EMEKLİ ÖDEMELERİ</c:v>
                </c:pt>
              </c:strCache>
            </c:strRef>
          </c:tx>
          <c:spPr>
            <a:solidFill>
              <a:srgbClr val="0000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'10'!$A$5:$A$16</c:f>
              <c:strCache/>
            </c:strRef>
          </c:cat>
          <c:val>
            <c:numRef>
              <c:f>'10'!$C$5:$C$16</c:f>
              <c:numCache/>
            </c:numRef>
          </c:val>
        </c:ser>
        <c:axId val="45049644"/>
        <c:axId val="2793613"/>
      </c:barChart>
      <c:lineChart>
        <c:grouping val="standard"/>
        <c:varyColors val="0"/>
        <c:ser>
          <c:idx val="2"/>
          <c:order val="2"/>
          <c:tx>
            <c:strRef>
              <c:f>'10'!$D$3:$D$4</c:f>
              <c:strCache>
                <c:ptCount val="1"/>
                <c:pt idx="0">
                  <c:v> 2005 YILI  PRİM GELİRLERİNİN EMEKLİ ÖDEMELERİNİ KARŞILAMA ORANI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1" i="0" u="none" baseline="0"/>
                </a:pPr>
              </a:p>
            </c:txPr>
            <c:showLegendKey val="0"/>
            <c:showVal val="1"/>
            <c:showBubbleSize val="0"/>
            <c:showCatName val="0"/>
            <c:showSerName val="0"/>
            <c:showLeaderLines val="1"/>
            <c:showPercent val="0"/>
          </c:dLbls>
          <c:cat>
            <c:strRef>
              <c:f>'10'!$A$5:$A$16</c:f>
              <c:strCache/>
            </c:strRef>
          </c:cat>
          <c:val>
            <c:numRef>
              <c:f>'10'!$D$5:$D$16</c:f>
              <c:numCache/>
            </c:numRef>
          </c:val>
          <c:smooth val="1"/>
        </c:ser>
        <c:axId val="25142518"/>
        <c:axId val="24956071"/>
      </c:lineChart>
      <c:catAx>
        <c:axId val="45049644"/>
        <c:scaling>
          <c:orientation val="minMax"/>
        </c:scaling>
        <c:axPos val="b"/>
        <c:title>
          <c:tx>
            <c:rich>
              <a:bodyPr vert="horz" rot="0" anchor="ctr"/>
              <a:lstStyle/>
              <a:p>
                <a:pPr algn="ctr">
                  <a:defRPr/>
                </a:pPr>
                <a:r>
                  <a:rPr lang="en-US" cap="none" sz="1000" b="1" i="0" u="none" baseline="0"/>
                  <a:t> Milyar TL</a:t>
                </a:r>
              </a:p>
            </c:rich>
          </c:tx>
          <c:layout>
            <c:manualLayout>
              <c:xMode val="factor"/>
              <c:yMode val="factor"/>
              <c:x val="0.25725"/>
              <c:y val="-0.107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800" b="1" i="0" u="none" baseline="0"/>
            </a:pPr>
          </a:p>
        </c:txPr>
        <c:crossAx val="2793613"/>
        <c:crosses val="autoZero"/>
        <c:auto val="0"/>
        <c:lblOffset val="100"/>
        <c:noMultiLvlLbl val="0"/>
      </c:catAx>
      <c:valAx>
        <c:axId val="2793613"/>
        <c:scaling>
          <c:orientation val="minMax"/>
        </c:scaling>
        <c:axPos val="l"/>
        <c:delete val="0"/>
        <c:numFmt formatCode="General" sourceLinked="1"/>
        <c:majorTickMark val="in"/>
        <c:minorTickMark val="none"/>
        <c:tickLblPos val="nextTo"/>
        <c:txPr>
          <a:bodyPr/>
          <a:lstStyle/>
          <a:p>
            <a:pPr>
              <a:defRPr lang="en-US" cap="none" sz="800" b="1" i="0" u="none" baseline="0"/>
            </a:pPr>
          </a:p>
        </c:txPr>
        <c:crossAx val="45049644"/>
        <c:crossesAt val="1"/>
        <c:crossBetween val="between"/>
        <c:dispUnits/>
      </c:valAx>
      <c:catAx>
        <c:axId val="25142518"/>
        <c:scaling>
          <c:orientation val="minMax"/>
        </c:scaling>
        <c:axPos val="b"/>
        <c:title>
          <c:tx>
            <c:rich>
              <a:bodyPr vert="horz" rot="0" anchor="ctr"/>
              <a:lstStyle/>
              <a:p>
                <a:pPr algn="ctr">
                  <a:defRPr/>
                </a:pPr>
                <a:r>
                  <a:rPr lang="en-US" cap="none" sz="1000" b="1" i="0" u="none" baseline="0"/>
                  <a:t>Karşılama Oranı ( % )</a:t>
                </a:r>
              </a:p>
            </c:rich>
          </c:tx>
          <c:layout>
            <c:manualLayout>
              <c:xMode val="factor"/>
              <c:yMode val="factor"/>
              <c:x val="0.009"/>
              <c:y val="0.09175"/>
            </c:manualLayout>
          </c:layout>
          <c:overlay val="0"/>
          <c:spPr>
            <a:noFill/>
            <a:ln>
              <a:noFill/>
            </a:ln>
          </c:spPr>
        </c:title>
        <c:delete val="1"/>
        <c:majorTickMark val="in"/>
        <c:minorTickMark val="none"/>
        <c:tickLblPos val="nextTo"/>
        <c:crossAx val="24956071"/>
        <c:crosses val="autoZero"/>
        <c:auto val="0"/>
        <c:lblOffset val="100"/>
        <c:noMultiLvlLbl val="0"/>
      </c:catAx>
      <c:valAx>
        <c:axId val="24956071"/>
        <c:scaling>
          <c:orientation val="minMax"/>
          <c:max val="100"/>
          <c:min val="0"/>
        </c:scaling>
        <c:axPos val="l"/>
        <c:delete val="0"/>
        <c:numFmt formatCode="0" sourceLinked="0"/>
        <c:majorTickMark val="in"/>
        <c:minorTickMark val="none"/>
        <c:tickLblPos val="nextTo"/>
        <c:txPr>
          <a:bodyPr/>
          <a:lstStyle/>
          <a:p>
            <a:pPr>
              <a:defRPr lang="en-US" cap="none" sz="800" b="1" i="0" u="none" baseline="0"/>
            </a:pPr>
          </a:p>
        </c:txPr>
        <c:crossAx val="25142518"/>
        <c:crosses val="max"/>
        <c:crossBetween val="between"/>
        <c:dispUnits/>
        <c:majorUnit val="10"/>
        <c:minorUnit val="10"/>
      </c:valAx>
      <c:spPr>
        <a:blipFill>
          <a:blip r:embed="rId1"/>
          <a:srcRect/>
          <a:tile sx="100000" sy="100000" flip="none" algn="tl"/>
        </a:blipFill>
        <a:ln w="3175">
          <a:noFill/>
        </a:ln>
      </c:spPr>
    </c:plotArea>
    <c:legend>
      <c:legendPos val="b"/>
      <c:layout>
        <c:manualLayout>
          <c:xMode val="edge"/>
          <c:yMode val="edge"/>
          <c:x val="0"/>
          <c:y val="0.87525"/>
          <c:w val="0.93675"/>
          <c:h val="0.1032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10 - 2005 Yılı Hazineden Yapılan Transferler  Oranları</a:t>
            </a:r>
          </a:p>
        </c:rich>
      </c:tx>
      <c:layout>
        <c:manualLayout>
          <c:xMode val="factor"/>
          <c:yMode val="factor"/>
          <c:x val="0.03275"/>
          <c:y val="0.035"/>
        </c:manualLayout>
      </c:layout>
      <c:spPr>
        <a:noFill/>
        <a:ln>
          <a:noFill/>
        </a:ln>
      </c:spPr>
    </c:title>
    <c:view3D>
      <c:rotX val="15"/>
      <c:hPercent val="100"/>
      <c:rotY val="0"/>
      <c:depthPercent val="100"/>
      <c:rAngAx val="1"/>
    </c:view3D>
    <c:plotArea>
      <c:layout>
        <c:manualLayout>
          <c:xMode val="edge"/>
          <c:yMode val="edge"/>
          <c:x val="0"/>
          <c:y val="0.33125"/>
          <c:w val="0.9265"/>
          <c:h val="0.52075"/>
        </c:manualLayout>
      </c:layout>
      <c:pie3DChart>
        <c:varyColors val="1"/>
        <c:ser>
          <c:idx val="0"/>
          <c:order val="0"/>
          <c:spPr>
            <a:gradFill rotWithShape="1">
              <a:gsLst>
                <a:gs pos="0">
                  <a:srgbClr val="465E00"/>
                </a:gs>
                <a:gs pos="100000">
                  <a:srgbClr val="99CC00"/>
                </a:gs>
              </a:gsLst>
              <a:path path="rect">
                <a:fillToRect l="50000" t="50000" r="50000" b="50000"/>
              </a:path>
            </a:gradFill>
            <a:ln w="25400">
              <a:solidFill/>
            </a:ln>
          </c:spPr>
          <c:explosion val="21"/>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465E00"/>
                  </a:gs>
                  <a:gs pos="100000">
                    <a:srgbClr val="99CC00"/>
                  </a:gs>
                </a:gsLst>
                <a:path path="rect">
                  <a:fillToRect l="50000" t="50000" r="50000" b="50000"/>
                </a:path>
              </a:gradFill>
              <a:ln w="25400">
                <a:solidFill/>
              </a:ln>
            </c:spPr>
          </c:dPt>
          <c:dPt>
            <c:idx val="1"/>
            <c:spPr>
              <a:gradFill rotWithShape="1">
                <a:gsLst>
                  <a:gs pos="0">
                    <a:srgbClr val="99CCFF"/>
                  </a:gs>
                  <a:gs pos="50000">
                    <a:srgbClr val="0000FF"/>
                  </a:gs>
                  <a:gs pos="100000">
                    <a:srgbClr val="99CCFF"/>
                  </a:gs>
                </a:gsLst>
                <a:lin ang="2700000" scaled="1"/>
              </a:gradFill>
              <a:ln w="25400">
                <a:solidFill/>
              </a:ln>
            </c:spPr>
          </c:dPt>
          <c:dLbls>
            <c:dLbl>
              <c:idx val="0"/>
              <c:layout>
                <c:manualLayout>
                  <c:x val="0"/>
                  <c:y val="0"/>
                </c:manualLayout>
              </c:layout>
              <c:tx>
                <c:rich>
                  <a:bodyPr vert="horz" rot="0" anchor="ctr"/>
                  <a:lstStyle/>
                  <a:p>
                    <a:pPr algn="ctr">
                      <a:defRPr/>
                    </a:pPr>
                    <a:r>
                      <a:rPr lang="en-US" cap="none" sz="825" b="1" i="0" u="none" baseline="0"/>
                      <a:t> Hazine Yardımı         % 84,76</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825" b="1" i="0" u="none" baseline="0"/>
                      <a:t> Bağ-Kur Adına          
      % 15,24</a:t>
                    </a:r>
                  </a:p>
                </c:rich>
              </c:tx>
              <c:numFmt formatCode="General" sourceLinked="1"/>
              <c:showLegendKey val="0"/>
              <c:showVal val="1"/>
              <c:showBubbleSize val="0"/>
              <c:showCatName val="0"/>
              <c:showSerName val="0"/>
              <c:showPercent val="1"/>
            </c:dLbl>
            <c:numFmt formatCode="0.00%" sourceLinked="0"/>
            <c:txPr>
              <a:bodyPr vert="horz" rot="0" anchor="ctr"/>
              <a:lstStyle/>
              <a:p>
                <a:pPr algn="ctr">
                  <a:defRPr lang="en-US" cap="none" sz="825" b="1" i="0" u="none" baseline="0"/>
                </a:pPr>
              </a:p>
            </c:txPr>
            <c:showLegendKey val="0"/>
            <c:showVal val="1"/>
            <c:showBubbleSize val="0"/>
            <c:showCatName val="0"/>
            <c:showSerName val="0"/>
            <c:showLeaderLines val="1"/>
            <c:showPercent val="1"/>
          </c:dLbls>
          <c:val>
            <c:numRef>
              <c:f>'11'!$D$17:$E$17</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11 - 2006 Yılı Hazineden Yapılan Transferler  Oranları</a:t>
            </a:r>
          </a:p>
        </c:rich>
      </c:tx>
      <c:layout>
        <c:manualLayout>
          <c:xMode val="factor"/>
          <c:yMode val="factor"/>
          <c:x val="-0.01475"/>
          <c:y val="0.05975"/>
        </c:manualLayout>
      </c:layout>
      <c:spPr>
        <a:noFill/>
        <a:ln>
          <a:noFill/>
        </a:ln>
      </c:spPr>
    </c:title>
    <c:view3D>
      <c:rotX val="15"/>
      <c:hPercent val="100"/>
      <c:rotY val="0"/>
      <c:depthPercent val="100"/>
      <c:rAngAx val="1"/>
    </c:view3D>
    <c:plotArea>
      <c:layout>
        <c:manualLayout>
          <c:xMode val="edge"/>
          <c:yMode val="edge"/>
          <c:x val="0.287"/>
          <c:y val="0.445"/>
          <c:w val="0.451"/>
          <c:h val="0.4325"/>
        </c:manualLayout>
      </c:layout>
      <c:pie3DChart>
        <c:varyColors val="1"/>
        <c:ser>
          <c:idx val="0"/>
          <c:order val="0"/>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CC99"/>
                  </a:gs>
                  <a:gs pos="100000">
                    <a:srgbClr val="755E46"/>
                  </a:gs>
                </a:gsLst>
                <a:path path="rect">
                  <a:fillToRect l="100000" b="100000"/>
                </a:path>
              </a:gradFill>
            </c:spPr>
          </c:dPt>
          <c:dPt>
            <c:idx val="1"/>
            <c:spPr>
              <a:gradFill rotWithShape="1">
                <a:gsLst>
                  <a:gs pos="0">
                    <a:srgbClr val="757575"/>
                  </a:gs>
                  <a:gs pos="50000">
                    <a:srgbClr val="FFFFFF"/>
                  </a:gs>
                  <a:gs pos="100000">
                    <a:srgbClr val="757575"/>
                  </a:gs>
                </a:gsLst>
                <a:lin ang="5400000" scaled="1"/>
              </a:gradFill>
            </c:spPr>
          </c:dPt>
          <c:dLbls>
            <c:dLbl>
              <c:idx val="0"/>
              <c:layout>
                <c:manualLayout>
                  <c:x val="0"/>
                  <c:y val="0"/>
                </c:manualLayout>
              </c:layout>
              <c:tx>
                <c:rich>
                  <a:bodyPr vert="horz" rot="0" anchor="ctr"/>
                  <a:lstStyle/>
                  <a:p>
                    <a:pPr algn="ctr">
                      <a:defRPr/>
                    </a:pPr>
                    <a:r>
                      <a:rPr lang="en-US" cap="none" sz="1200" b="1" i="0" u="none" baseline="0"/>
                      <a:t> </a:t>
                    </a:r>
                    <a:r>
                      <a:rPr lang="en-US" cap="none" sz="800" b="1" i="0" u="none" baseline="0"/>
                      <a:t>Hazine Yardımı    </a:t>
                    </a:r>
                    <a:r>
                      <a:rPr lang="en-US" cap="none" sz="1200" b="1" i="0" u="none" baseline="0"/>
                      <a:t>     % 79</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1200" b="1" i="0" u="none" baseline="0"/>
                      <a:t> </a:t>
                    </a:r>
                    <a:r>
                      <a:rPr lang="en-US" cap="none" sz="800" b="1" i="0" u="none" baseline="0"/>
                      <a:t>Ek Ödeme   </a:t>
                    </a:r>
                    <a:r>
                      <a:rPr lang="en-US" cap="none" sz="1200" b="1" i="0" u="none" baseline="0"/>
                      <a:t>       
      % 8 </a:t>
                    </a:r>
                  </a:p>
                </c:rich>
              </c:tx>
              <c:numFmt formatCode="General" sourceLinked="1"/>
              <c:showLegendKey val="0"/>
              <c:showVal val="1"/>
              <c:showBubbleSize val="0"/>
              <c:showCatName val="0"/>
              <c:showSerName val="0"/>
              <c:showPercent val="1"/>
            </c:dLbl>
            <c:dLbl>
              <c:idx val="2"/>
              <c:layout>
                <c:manualLayout>
                  <c:x val="0"/>
                  <c:y val="0"/>
                </c:manualLayout>
              </c:layout>
              <c:tx>
                <c:rich>
                  <a:bodyPr vert="horz" rot="0" anchor="ctr"/>
                  <a:lstStyle/>
                  <a:p>
                    <a:pPr algn="ctr">
                      <a:defRPr/>
                    </a:pPr>
                    <a:r>
                      <a:rPr lang="en-US" cap="none" sz="800" b="1" i="0" u="none" baseline="0"/>
                      <a:t> Bağ - Kur Adına Alınan </a:t>
                    </a:r>
                    <a:r>
                      <a:rPr lang="en-US" cap="none" sz="1200" b="1" i="0" u="none" baseline="0"/>
                      <a:t>                % 13
</a:t>
                    </a:r>
                  </a:p>
                </c:rich>
              </c:tx>
              <c:numFmt formatCode="General" sourceLinked="1"/>
              <c:showLegendKey val="0"/>
              <c:showVal val="1"/>
              <c:showBubbleSize val="0"/>
              <c:showCatName val="0"/>
              <c:showSerName val="0"/>
              <c:showPercent val="1"/>
            </c:dLbl>
            <c:numFmt formatCode="0.00%" sourceLinked="0"/>
            <c:txPr>
              <a:bodyPr vert="horz" rot="0" anchor="ctr"/>
              <a:lstStyle/>
              <a:p>
                <a:pPr algn="ctr">
                  <a:defRPr lang="en-US" cap="none" sz="1200" b="1" i="0" u="none" baseline="0"/>
                </a:pPr>
              </a:p>
            </c:txPr>
            <c:showLegendKey val="0"/>
            <c:showVal val="1"/>
            <c:showBubbleSize val="0"/>
            <c:showCatName val="0"/>
            <c:showSerName val="0"/>
            <c:showLeaderLines val="1"/>
            <c:showPercent val="1"/>
          </c:dLbls>
          <c:val>
            <c:numRef>
              <c:f>'12'!$D$17:$F$17</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12 - Yıllar İtibariyle Aktif Pasif Oranı</a:t>
            </a:r>
          </a:p>
        </c:rich>
      </c:tx>
      <c:layout>
        <c:manualLayout>
          <c:xMode val="factor"/>
          <c:yMode val="factor"/>
          <c:x val="-0.001"/>
          <c:y val="0.0145"/>
        </c:manualLayout>
      </c:layout>
      <c:spPr>
        <a:noFill/>
        <a:ln>
          <a:noFill/>
        </a:ln>
      </c:spPr>
    </c:title>
    <c:plotArea>
      <c:layout>
        <c:manualLayout>
          <c:xMode val="edge"/>
          <c:yMode val="edge"/>
          <c:x val="0.01275"/>
          <c:y val="0.2275"/>
          <c:w val="0.955"/>
          <c:h val="0.6325"/>
        </c:manualLayout>
      </c:layout>
      <c:lineChart>
        <c:grouping val="standard"/>
        <c:varyColors val="0"/>
        <c:ser>
          <c:idx val="8"/>
          <c:order val="0"/>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LeaderLines val="1"/>
            <c:showPercent val="0"/>
          </c:dLbls>
          <c:cat>
            <c:strRef>
              <c:f>'13'!$B$3:$I$3</c:f>
              <c:strCache/>
            </c:strRef>
          </c:cat>
          <c:val>
            <c:numRef>
              <c:f>'13'!$B$12:$I$12</c:f>
              <c:numCache/>
            </c:numRef>
          </c:val>
          <c:smooth val="1"/>
        </c:ser>
        <c:marker val="1"/>
        <c:axId val="23278048"/>
        <c:axId val="8175841"/>
      </c:lineChart>
      <c:catAx>
        <c:axId val="23278048"/>
        <c:scaling>
          <c:orientation val="minMax"/>
        </c:scaling>
        <c:axPos val="b"/>
        <c:title>
          <c:tx>
            <c:rich>
              <a:bodyPr vert="horz" rot="0" anchor="ctr"/>
              <a:lstStyle/>
              <a:p>
                <a:pPr algn="ctr">
                  <a:defRPr/>
                </a:pPr>
                <a:r>
                  <a:rPr lang="en-US" cap="none" sz="800" b="1" i="0" u="none" baseline="0"/>
                  <a:t>Oran</a:t>
                </a:r>
              </a:p>
            </c:rich>
          </c:tx>
          <c:layout>
            <c:manualLayout>
              <c:xMode val="factor"/>
              <c:yMode val="factor"/>
              <c:x val="0.27125"/>
              <c:y val="-0.12075"/>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pPr>
          </a:p>
        </c:txPr>
        <c:crossAx val="8175841"/>
        <c:crosses val="autoZero"/>
        <c:auto val="1"/>
        <c:lblOffset val="100"/>
        <c:noMultiLvlLbl val="0"/>
      </c:catAx>
      <c:valAx>
        <c:axId val="8175841"/>
        <c:scaling>
          <c:orientation val="minMax"/>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1" i="0" u="none" baseline="0"/>
            </a:pPr>
          </a:p>
        </c:txPr>
        <c:crossAx val="23278048"/>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38100">
      <a:solidFill/>
    </a:ln>
    <a:effectLst>
      <a:outerShdw dist="35921" dir="2700000" algn="br">
        <a:prstClr val="black"/>
      </a:outerShdw>
    </a:effectLst>
  </c:spPr>
  <c:txPr>
    <a:bodyPr vert="horz" rot="0"/>
    <a:lstStyle/>
    <a:p>
      <a:pPr>
        <a:defRPr lang="en-US" cap="none" sz="1050" b="0" i="0" u="none" baseline="0">
          <a:latin typeface="Arial Tur"/>
          <a:ea typeface="Arial Tur"/>
          <a:cs typeface="Arial Tur"/>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FF"/>
                </a:solidFill>
              </a:rPr>
              <a:t>Grafik 12 - Yıllar İtibariyle Aktif - Pasif Oranı</a:t>
            </a:r>
          </a:p>
        </c:rich>
      </c:tx>
      <c:layout/>
      <c:spPr>
        <a:noFill/>
        <a:ln>
          <a:noFill/>
        </a:ln>
      </c:spPr>
    </c:title>
    <c:plotArea>
      <c:layout>
        <c:manualLayout>
          <c:xMode val="edge"/>
          <c:yMode val="edge"/>
          <c:x val="0.0125"/>
          <c:y val="0.1915"/>
          <c:w val="0.92125"/>
          <c:h val="0.6695"/>
        </c:manualLayout>
      </c:layout>
      <c:lineChart>
        <c:grouping val="standard"/>
        <c:varyColors val="0"/>
        <c:ser>
          <c:idx val="0"/>
          <c:order val="0"/>
          <c:tx>
            <c:strRef>
              <c:f>'[1]13'!$A$35</c:f>
              <c:strCache>
                <c:ptCount val="1"/>
                <c:pt idx="0">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pPr>
              </a:p>
            </c:txPr>
            <c:dLblPos val="r"/>
            <c:showLegendKey val="0"/>
            <c:showVal val="1"/>
            <c:showBubbleSize val="0"/>
            <c:showCatName val="0"/>
            <c:showSerName val="0"/>
            <c:showLeaderLines val="1"/>
            <c:showPercent val="0"/>
          </c:dLbls>
          <c:cat>
            <c:numRef>
              <c:f>'[1]13'!$B$34:$P$34</c:f>
              <c:numCache>
                <c:ptCount val="15"/>
                <c:pt idx="0">
                  <c:v>1960</c:v>
                </c:pt>
                <c:pt idx="1">
                  <c:v>1965</c:v>
                </c:pt>
                <c:pt idx="2">
                  <c:v>1970</c:v>
                </c:pt>
                <c:pt idx="3">
                  <c:v>1975</c:v>
                </c:pt>
                <c:pt idx="4">
                  <c:v>1980</c:v>
                </c:pt>
                <c:pt idx="5">
                  <c:v>1985</c:v>
                </c:pt>
                <c:pt idx="6">
                  <c:v>1990</c:v>
                </c:pt>
                <c:pt idx="7">
                  <c:v>1995</c:v>
                </c:pt>
                <c:pt idx="8">
                  <c:v>1999</c:v>
                </c:pt>
                <c:pt idx="9">
                  <c:v>2000</c:v>
                </c:pt>
                <c:pt idx="10">
                  <c:v>2001</c:v>
                </c:pt>
                <c:pt idx="11">
                  <c:v>2002</c:v>
                </c:pt>
                <c:pt idx="12">
                  <c:v>2003</c:v>
                </c:pt>
                <c:pt idx="13">
                  <c:v>2004</c:v>
                </c:pt>
                <c:pt idx="14">
                  <c:v>2005</c:v>
                </c:pt>
              </c:numCache>
            </c:numRef>
          </c:cat>
          <c:val>
            <c:numRef>
              <c:f>'[1]13'!$B$35:$P$35</c:f>
              <c:numCache>
                <c:ptCount val="15"/>
                <c:pt idx="0">
                  <c:v>24.3</c:v>
                </c:pt>
                <c:pt idx="1">
                  <c:v>16.88</c:v>
                </c:pt>
                <c:pt idx="2">
                  <c:v>9.03</c:v>
                </c:pt>
                <c:pt idx="3">
                  <c:v>6.29</c:v>
                </c:pt>
                <c:pt idx="4">
                  <c:v>3.47</c:v>
                </c:pt>
                <c:pt idx="5">
                  <c:v>2.45</c:v>
                </c:pt>
                <c:pt idx="6">
                  <c:v>2.39</c:v>
                </c:pt>
                <c:pt idx="7">
                  <c:v>2.44</c:v>
                </c:pt>
                <c:pt idx="8">
                  <c:v>2.02</c:v>
                </c:pt>
                <c:pt idx="9">
                  <c:v>1.97</c:v>
                </c:pt>
                <c:pt idx="10">
                  <c:v>1.72</c:v>
                </c:pt>
                <c:pt idx="11">
                  <c:v>1.75</c:v>
                </c:pt>
                <c:pt idx="12">
                  <c:v>1.72</c:v>
                </c:pt>
                <c:pt idx="13">
                  <c:v>1.69</c:v>
                </c:pt>
                <c:pt idx="14">
                  <c:v>1.75</c:v>
                </c:pt>
              </c:numCache>
            </c:numRef>
          </c:val>
          <c:smooth val="1"/>
        </c:ser>
        <c:marker val="1"/>
        <c:axId val="6473706"/>
        <c:axId val="58263355"/>
      </c:lineChart>
      <c:catAx>
        <c:axId val="6473706"/>
        <c:scaling>
          <c:orientation val="minMax"/>
        </c:scaling>
        <c:axPos val="b"/>
        <c:title>
          <c:tx>
            <c:rich>
              <a:bodyPr vert="horz" rot="0" anchor="ctr"/>
              <a:lstStyle/>
              <a:p>
                <a:pPr algn="ctr">
                  <a:defRPr/>
                </a:pPr>
                <a:r>
                  <a:rPr lang="en-US" cap="none" sz="800" b="1" i="0" u="none" baseline="0"/>
                  <a:t>Oran</a:t>
                </a:r>
              </a:p>
            </c:rich>
          </c:tx>
          <c:layout>
            <c:manualLayout>
              <c:xMode val="factor"/>
              <c:yMode val="factor"/>
              <c:x val="0.27525"/>
              <c:y val="-0.12125"/>
            </c:manualLayout>
          </c:layout>
          <c:overlay val="0"/>
          <c:spPr>
            <a:noFill/>
            <a:ln>
              <a:noFill/>
            </a:ln>
          </c:spPr>
        </c:title>
        <c:delete val="0"/>
        <c:numFmt formatCode="General" sourceLinked="1"/>
        <c:majorTickMark val="out"/>
        <c:minorTickMark val="none"/>
        <c:tickLblPos val="nextTo"/>
        <c:spPr>
          <a:ln w="25400">
            <a:solidFill/>
          </a:ln>
        </c:spPr>
        <c:txPr>
          <a:bodyPr/>
          <a:lstStyle/>
          <a:p>
            <a:pPr>
              <a:defRPr lang="en-US" cap="none" sz="800" b="1" i="0" u="none" baseline="0"/>
            </a:pPr>
          </a:p>
        </c:txPr>
        <c:crossAx val="58263355"/>
        <c:crosses val="autoZero"/>
        <c:auto val="1"/>
        <c:lblOffset val="100"/>
        <c:noMultiLvlLbl val="0"/>
      </c:catAx>
      <c:valAx>
        <c:axId val="58263355"/>
        <c:scaling>
          <c:orientation val="minMax"/>
        </c:scaling>
        <c:axPos val="l"/>
        <c:majorGridlines>
          <c:spPr>
            <a:ln w="3175">
              <a:solidFill/>
              <a:prstDash val="sysDot"/>
            </a:ln>
          </c:spPr>
        </c:majorGridlines>
        <c:delete val="0"/>
        <c:numFmt formatCode="0.00" sourceLinked="0"/>
        <c:majorTickMark val="out"/>
        <c:minorTickMark val="none"/>
        <c:tickLblPos val="nextTo"/>
        <c:spPr>
          <a:ln w="25400">
            <a:solidFill/>
          </a:ln>
        </c:spPr>
        <c:txPr>
          <a:bodyPr/>
          <a:lstStyle/>
          <a:p>
            <a:pPr>
              <a:defRPr lang="en-US" cap="none" sz="850" b="1" i="0" u="none" baseline="0"/>
            </a:pPr>
          </a:p>
        </c:txPr>
        <c:crossAx val="6473706"/>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525" b="0" i="0" u="none" baseline="0">
          <a:latin typeface="Arial Tur"/>
          <a:ea typeface="Arial Tur"/>
          <a:cs typeface="Arial Tur"/>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13 - Kurumumuzdan 2005 yılı sonu itibariyle Aylık ve Gelir Alanların Sayısı</a:t>
            </a:r>
          </a:p>
        </c:rich>
      </c:tx>
      <c:layout>
        <c:manualLayout>
          <c:xMode val="factor"/>
          <c:yMode val="factor"/>
          <c:x val="-0.00125"/>
          <c:y val="0"/>
        </c:manualLayout>
      </c:layout>
      <c:spPr>
        <a:noFill/>
        <a:ln>
          <a:noFill/>
        </a:ln>
      </c:spPr>
    </c:title>
    <c:view3D>
      <c:rotX val="15"/>
      <c:hPercent val="100"/>
      <c:rotY val="0"/>
      <c:depthPercent val="100"/>
      <c:rAngAx val="1"/>
    </c:view3D>
    <c:plotArea>
      <c:layout>
        <c:manualLayout>
          <c:xMode val="edge"/>
          <c:yMode val="edge"/>
          <c:x val="0.15675"/>
          <c:y val="0.30225"/>
          <c:w val="0.6815"/>
          <c:h val="0.56775"/>
        </c:manualLayout>
      </c:layout>
      <c:pie3DChart>
        <c:varyColors val="1"/>
        <c:ser>
          <c:idx val="7"/>
          <c:order val="0"/>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FFFF"/>
                  </a:gs>
                  <a:gs pos="100000">
                    <a:srgbClr val="000000"/>
                  </a:gs>
                </a:gsLst>
                <a:path path="rect">
                  <a:fillToRect l="50000" t="50000" r="50000" b="50000"/>
                </a:path>
              </a:gradFill>
            </c:spPr>
          </c:dPt>
          <c:dPt>
            <c:idx val="1"/>
            <c:spPr>
              <a:gradFill rotWithShape="1">
                <a:gsLst>
                  <a:gs pos="0">
                    <a:srgbClr val="969696"/>
                  </a:gs>
                  <a:gs pos="100000">
                    <a:srgbClr val="FFFFFF"/>
                  </a:gs>
                </a:gsLst>
                <a:path path="rect">
                  <a:fillToRect l="50000" t="50000" r="50000" b="50000"/>
                </a:path>
              </a:gradFill>
              <a:ln w="25400">
                <a:solidFill/>
              </a:ln>
            </c:spPr>
          </c:dPt>
          <c:dPt>
            <c:idx val="2"/>
            <c:spPr>
              <a:pattFill prst="pct20">
                <a:fgClr>
                  <a:srgbClr val="FFFFFF"/>
                </a:fgClr>
                <a:bgClr>
                  <a:srgbClr val="808080"/>
                </a:bgClr>
              </a:pattFill>
            </c:spPr>
          </c:dPt>
          <c:dPt>
            <c:idx val="3"/>
            <c:spPr>
              <a:solidFill>
                <a:srgbClr val="FFFFFF"/>
              </a:solidFill>
              <a:ln w="25400">
                <a:solidFill/>
              </a:ln>
            </c:spPr>
          </c:dPt>
          <c:dPt>
            <c:idx val="4"/>
            <c:spPr>
              <a:solidFill>
                <a:srgbClr val="333333"/>
              </a:solidFill>
            </c:spPr>
          </c:dPt>
          <c:dLbls>
            <c:dLbl>
              <c:idx val="0"/>
              <c:layout>
                <c:manualLayout>
                  <c:x val="0"/>
                  <c:y val="0"/>
                </c:manualLayout>
              </c:layout>
              <c:tx>
                <c:rich>
                  <a:bodyPr vert="horz" rot="0" anchor="ctr"/>
                  <a:lstStyle/>
                  <a:p>
                    <a:pPr algn="ctr">
                      <a:defRPr/>
                    </a:pPr>
                    <a:r>
                      <a:rPr lang="en-US" cap="none" sz="800" b="1" i="0" u="none" baseline="0"/>
                      <a:t>Malullük Aylığı Al.                  </a:t>
                    </a:r>
                  </a:p>
                </c:rich>
              </c:tx>
              <c:numFmt formatCode="General" sourceLinked="1"/>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800" b="1" i="0" u="none" baseline="0"/>
                      <a:t>Yaşlılık Aylığı Al.                   </a:t>
                    </a:r>
                  </a:p>
                </c:rich>
              </c:tx>
              <c:numFmt formatCode="General" sourceLinked="1"/>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800" b="1" i="0" u="none" baseline="0"/>
                      <a:t>Ölüm Aylığı Alanlar              </a:t>
                    </a:r>
                  </a:p>
                </c:rich>
              </c:tx>
              <c:numFmt formatCode="General" sourceLinked="1"/>
              <c:showLegendKey val="0"/>
              <c:showVal val="1"/>
              <c:showBubbleSize val="0"/>
              <c:showCatName val="1"/>
              <c:showSerName val="0"/>
              <c:showPercent val="1"/>
            </c:dLbl>
            <c:dLbl>
              <c:idx val="3"/>
              <c:layout>
                <c:manualLayout>
                  <c:x val="0"/>
                  <c:y val="0"/>
                </c:manualLayout>
              </c:layout>
              <c:tx>
                <c:rich>
                  <a:bodyPr vert="horz" rot="0" anchor="ctr"/>
                  <a:lstStyle/>
                  <a:p>
                    <a:pPr algn="ctr">
                      <a:defRPr/>
                    </a:pPr>
                    <a:r>
                      <a:rPr lang="en-US" cap="none" sz="800" b="1" i="0" u="none" baseline="0"/>
                      <a:t>Sürekli İşgör.Geliri Al.          </a:t>
                    </a:r>
                  </a:p>
                </c:rich>
              </c:tx>
              <c:numFmt formatCode="General" sourceLinked="1"/>
              <c:showLegendKey val="0"/>
              <c:showVal val="1"/>
              <c:showBubbleSize val="0"/>
              <c:showCatName val="1"/>
              <c:showSerName val="0"/>
              <c:showPercent val="1"/>
            </c:dLbl>
            <c:dLbl>
              <c:idx val="4"/>
              <c:layout>
                <c:manualLayout>
                  <c:x val="0"/>
                  <c:y val="0"/>
                </c:manualLayout>
              </c:layout>
              <c:tx>
                <c:rich>
                  <a:bodyPr vert="horz" rot="0" anchor="ctr"/>
                  <a:lstStyle/>
                  <a:p>
                    <a:pPr algn="ctr">
                      <a:defRPr/>
                    </a:pPr>
                    <a:r>
                      <a:rPr lang="en-US" cap="none" sz="800" b="1" i="0" u="none" baseline="0"/>
                      <a:t>İşkazası ve Mes. Hast. Sonucu Ölüm Haksahipleri    </a:t>
                    </a:r>
                  </a:p>
                </c:rich>
              </c:tx>
              <c:numFmt formatCode="General" sourceLinked="1"/>
              <c:showLegendKey val="0"/>
              <c:showVal val="1"/>
              <c:showBubbleSize val="0"/>
              <c:showCatName val="1"/>
              <c:showSerName val="0"/>
              <c:showPercent val="1"/>
            </c:dLbl>
            <c:numFmt formatCode="0%" sourceLinked="0"/>
            <c:txPr>
              <a:bodyPr vert="horz" rot="0" anchor="ctr"/>
              <a:lstStyle/>
              <a:p>
                <a:pPr algn="ctr">
                  <a:defRPr lang="en-US" cap="none" sz="800" b="1" i="0" u="none" baseline="0"/>
                </a:pPr>
              </a:p>
            </c:txPr>
            <c:showLegendKey val="0"/>
            <c:showVal val="1"/>
            <c:showBubbleSize val="0"/>
            <c:showCatName val="1"/>
            <c:showSerName val="0"/>
            <c:showLeaderLines val="1"/>
            <c:showPercent val="1"/>
          </c:dLbls>
          <c:cat>
            <c:strRef>
              <c:f>'17'!$A$4:$A$8</c:f>
              <c:strCache/>
            </c:strRef>
          </c:cat>
          <c:val>
            <c:numRef>
              <c:f>'17'!$H$4:$H$8</c:f>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25400">
      <a:solidFill/>
    </a:ln>
    <a:effectLst>
      <a:outerShdw dist="35921" dir="2700000" algn="br">
        <a:prstClr val="black"/>
      </a:outerShdw>
    </a:effectLst>
  </c:spPr>
  <c:txPr>
    <a:bodyPr vert="horz" rot="0"/>
    <a:lstStyle/>
    <a:p>
      <a:pPr>
        <a:defRPr lang="en-US" cap="none" sz="1600" b="0" i="0" u="none" baseline="0">
          <a:latin typeface="Arial Tur"/>
          <a:ea typeface="Arial Tur"/>
          <a:cs typeface="Arial Tur"/>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14 - Kurumumuzdan 2005 yılı içinde Aylık ve Gelir Alanların Sayısı</a:t>
            </a:r>
          </a:p>
        </c:rich>
      </c:tx>
      <c:layout>
        <c:manualLayout>
          <c:xMode val="factor"/>
          <c:yMode val="factor"/>
          <c:x val="-0.0025"/>
          <c:y val="-0.01625"/>
        </c:manualLayout>
      </c:layout>
      <c:spPr>
        <a:noFill/>
        <a:ln>
          <a:noFill/>
        </a:ln>
      </c:spPr>
    </c:title>
    <c:view3D>
      <c:rotX val="15"/>
      <c:hPercent val="100"/>
      <c:rotY val="0"/>
      <c:depthPercent val="100"/>
      <c:rAngAx val="1"/>
    </c:view3D>
    <c:plotArea>
      <c:layout>
        <c:manualLayout>
          <c:xMode val="edge"/>
          <c:yMode val="edge"/>
          <c:x val="0.2415"/>
          <c:y val="0.3885"/>
          <c:w val="0.4535"/>
          <c:h val="0.442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pattFill prst="wdDnDiag">
                <a:fgClr>
                  <a:srgbClr val="000000"/>
                </a:fgClr>
                <a:bgClr>
                  <a:srgbClr val="FFFFFF"/>
                </a:bgClr>
              </a:pattFill>
            </c:spPr>
          </c:dPt>
          <c:dPt>
            <c:idx val="1"/>
            <c:spPr>
              <a:gradFill rotWithShape="1">
                <a:gsLst>
                  <a:gs pos="0">
                    <a:srgbClr val="FFFFFF"/>
                  </a:gs>
                  <a:gs pos="100000">
                    <a:srgbClr val="969696"/>
                  </a:gs>
                </a:gsLst>
                <a:path path="rect">
                  <a:fillToRect l="50000" t="50000" r="50000" b="50000"/>
                </a:path>
              </a:gradFill>
            </c:spPr>
          </c:dPt>
          <c:dPt>
            <c:idx val="3"/>
            <c:spPr>
              <a:solidFill>
                <a:srgbClr val="333333"/>
              </a:solidFill>
            </c:spPr>
          </c:dPt>
          <c:dPt>
            <c:idx val="4"/>
            <c:spPr>
              <a:solidFill>
                <a:srgbClr val="FFFFFF"/>
              </a:solidFill>
            </c:spPr>
          </c:dPt>
          <c:dLbls>
            <c:dLbl>
              <c:idx val="0"/>
              <c:layout>
                <c:manualLayout>
                  <c:x val="0"/>
                  <c:y val="0"/>
                </c:manualLayout>
              </c:layout>
              <c:tx>
                <c:rich>
                  <a:bodyPr vert="horz" rot="0" anchor="ctr"/>
                  <a:lstStyle/>
                  <a:p>
                    <a:pPr algn="ctr">
                      <a:defRPr/>
                    </a:pPr>
                    <a:r>
                      <a:rPr lang="en-US" cap="none" sz="850" b="1" i="0" u="none" baseline="0"/>
                      <a:t>Malüllük Aylığı Alanlar </a:t>
                    </a:r>
                  </a:p>
                </c:rich>
              </c:tx>
              <c:numFmt formatCode="General" sourceLinked="1"/>
              <c:showLegendKey val="0"/>
              <c:showVal val="1"/>
              <c:showBubbleSize val="0"/>
              <c:showCatName val="0"/>
              <c:showSerName val="1"/>
              <c:showPercent val="1"/>
            </c:dLbl>
            <c:dLbl>
              <c:idx val="1"/>
              <c:layout>
                <c:manualLayout>
                  <c:x val="0"/>
                  <c:y val="0"/>
                </c:manualLayout>
              </c:layout>
              <c:tx>
                <c:rich>
                  <a:bodyPr vert="horz" rot="0" anchor="ctr"/>
                  <a:lstStyle/>
                  <a:p>
                    <a:pPr algn="ctr">
                      <a:defRPr/>
                    </a:pPr>
                    <a:r>
                      <a:rPr lang="en-US" cap="none" sz="850" b="1" i="0" u="none" baseline="0"/>
                      <a:t>Yaşlılık Aylığı Alanlar </a:t>
                    </a:r>
                  </a:p>
                </c:rich>
              </c:tx>
              <c:numFmt formatCode="General" sourceLinked="1"/>
              <c:showLegendKey val="0"/>
              <c:showVal val="1"/>
              <c:showBubbleSize val="0"/>
              <c:showCatName val="0"/>
              <c:showSerName val="1"/>
              <c:showPercent val="1"/>
            </c:dLbl>
            <c:dLbl>
              <c:idx val="2"/>
              <c:layout>
                <c:manualLayout>
                  <c:x val="0"/>
                  <c:y val="0"/>
                </c:manualLayout>
              </c:layout>
              <c:tx>
                <c:rich>
                  <a:bodyPr vert="horz" rot="0" anchor="ctr"/>
                  <a:lstStyle/>
                  <a:p>
                    <a:pPr algn="ctr">
                      <a:defRPr/>
                    </a:pPr>
                    <a:r>
                      <a:rPr lang="en-US" cap="none" sz="850" b="1" i="0" u="none" baseline="0"/>
                      <a:t>Ölüm Aylığı Al.           </a:t>
                    </a:r>
                  </a:p>
                </c:rich>
              </c:tx>
              <c:numFmt formatCode="General" sourceLinked="1"/>
              <c:showLegendKey val="0"/>
              <c:showVal val="1"/>
              <c:showBubbleSize val="0"/>
              <c:showCatName val="0"/>
              <c:showSerName val="1"/>
              <c:showPercent val="1"/>
            </c:dLbl>
            <c:dLbl>
              <c:idx val="3"/>
              <c:layout>
                <c:manualLayout>
                  <c:x val="0"/>
                  <c:y val="0"/>
                </c:manualLayout>
              </c:layout>
              <c:tx>
                <c:rich>
                  <a:bodyPr vert="horz" rot="0" anchor="ctr"/>
                  <a:lstStyle/>
                  <a:p>
                    <a:pPr algn="ctr">
                      <a:defRPr/>
                    </a:pPr>
                    <a:r>
                      <a:rPr lang="en-US" cap="none" sz="850" b="1" i="0" u="none" baseline="0"/>
                      <a:t>Sürekli İşgör.Gel. Alanlar    </a:t>
                    </a:r>
                  </a:p>
                </c:rich>
              </c:tx>
              <c:numFmt formatCode="General" sourceLinked="1"/>
              <c:showLegendKey val="0"/>
              <c:showVal val="1"/>
              <c:showBubbleSize val="0"/>
              <c:showCatName val="0"/>
              <c:showSerName val="1"/>
              <c:showPercent val="1"/>
            </c:dLbl>
            <c:dLbl>
              <c:idx val="4"/>
              <c:layout>
                <c:manualLayout>
                  <c:x val="0"/>
                  <c:y val="0"/>
                </c:manualLayout>
              </c:layout>
              <c:tx>
                <c:rich>
                  <a:bodyPr vert="horz" rot="0" anchor="ctr"/>
                  <a:lstStyle/>
                  <a:p>
                    <a:pPr algn="ctr">
                      <a:defRPr/>
                    </a:pPr>
                    <a:r>
                      <a:rPr lang="en-US" cap="none" sz="850" b="1" i="0" u="none" baseline="0"/>
                      <a:t>İşkazası ve Mes. Hast. Sonucu Ölüm Hak Sahipleri ( Kişi )            </a:t>
                    </a:r>
                  </a:p>
                </c:rich>
              </c:tx>
              <c:numFmt formatCode="General" sourceLinked="1"/>
              <c:showLegendKey val="0"/>
              <c:showVal val="1"/>
              <c:showBubbleSize val="0"/>
              <c:showCatName val="0"/>
              <c:showSerName val="1"/>
              <c:showPercent val="1"/>
            </c:dLbl>
            <c:numFmt formatCode="0%" sourceLinked="0"/>
            <c:txPr>
              <a:bodyPr vert="horz" rot="0" anchor="ctr"/>
              <a:lstStyle/>
              <a:p>
                <a:pPr algn="ctr">
                  <a:defRPr lang="en-US" cap="none" sz="850" b="1" i="0" u="none" baseline="0"/>
                </a:pPr>
              </a:p>
            </c:txPr>
            <c:showLegendKey val="0"/>
            <c:showVal val="1"/>
            <c:showBubbleSize val="0"/>
            <c:showCatName val="0"/>
            <c:showSerName val="1"/>
            <c:showLeaderLines val="1"/>
            <c:showPercent val="1"/>
          </c:dLbls>
          <c:val>
            <c:numRef>
              <c:f>'17'!$K$32:$K$36</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25400">
      <a:solidFill/>
    </a:ln>
    <a:effectLst>
      <a:outerShdw dist="35921" dir="2700000" algn="br">
        <a:prstClr val="black"/>
      </a:outerShdw>
    </a:effectLst>
  </c:spPr>
  <c:txPr>
    <a:bodyPr vert="horz" rot="0"/>
    <a:lstStyle/>
    <a:p>
      <a:pPr>
        <a:defRPr lang="en-US" cap="none" sz="1575" b="0" i="0" u="none" baseline="0">
          <a:latin typeface="Arial Tur"/>
          <a:ea typeface="Arial Tur"/>
          <a:cs typeface="Arial Tur"/>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15 - Yıllar İtibariyle Emekli Aylıklarının Artış Oranı ve TÜFE'ye göre Seviyeleri </a:t>
            </a:r>
            <a:r>
              <a:rPr lang="en-US" cap="none" sz="1200" b="0" i="1" u="none" baseline="0">
                <a:solidFill>
                  <a:srgbClr val="0000FF"/>
                </a:solidFill>
              </a:rPr>
              <a:t>( SYZ Dahil )</a:t>
            </a:r>
          </a:p>
        </c:rich>
      </c:tx>
      <c:layout/>
      <c:spPr>
        <a:noFill/>
        <a:ln>
          <a:noFill/>
        </a:ln>
      </c:spPr>
    </c:title>
    <c:plotArea>
      <c:layout>
        <c:manualLayout>
          <c:xMode val="edge"/>
          <c:yMode val="edge"/>
          <c:x val="0.01825"/>
          <c:y val="0.21225"/>
          <c:w val="0.9635"/>
          <c:h val="0.67975"/>
        </c:manualLayout>
      </c:layout>
      <c:lineChart>
        <c:grouping val="standard"/>
        <c:varyColors val="0"/>
        <c:ser>
          <c:idx val="0"/>
          <c:order val="0"/>
          <c:tx>
            <c:strRef>
              <c:f>'18'!$H$3</c:f>
              <c:strCache>
                <c:ptCount val="1"/>
                <c:pt idx="0">
                  <c:v>Artış Oranı</c:v>
                </c:pt>
              </c:strCache>
            </c:strRef>
          </c:tx>
          <c:spPr>
            <a:ln w="381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a:effectLst>
                <a:outerShdw dist="35921" dir="2700000" algn="br">
                  <a:prstClr val="black"/>
                </a:outerShdw>
              </a:effectLst>
            </c:spPr>
          </c:marker>
          <c:dLbls>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LeaderLines val="1"/>
            <c:showPercent val="0"/>
          </c:dLbls>
          <c:cat>
            <c:numRef>
              <c:f>'18'!$G$4:$G$9</c:f>
              <c:numCache>
                <c:ptCount val="6"/>
                <c:pt idx="0">
                  <c:v>0</c:v>
                </c:pt>
                <c:pt idx="1">
                  <c:v>0</c:v>
                </c:pt>
                <c:pt idx="2">
                  <c:v>0</c:v>
                </c:pt>
                <c:pt idx="3">
                  <c:v>0</c:v>
                </c:pt>
                <c:pt idx="4">
                  <c:v>0</c:v>
                </c:pt>
                <c:pt idx="5">
                  <c:v>0</c:v>
                </c:pt>
              </c:numCache>
            </c:numRef>
          </c:cat>
          <c:val>
            <c:numRef>
              <c:f>'18'!$H$4:$H$9</c:f>
              <c:numCache>
                <c:ptCount val="6"/>
                <c:pt idx="0">
                  <c:v>0</c:v>
                </c:pt>
                <c:pt idx="1">
                  <c:v>0</c:v>
                </c:pt>
                <c:pt idx="2">
                  <c:v>0</c:v>
                </c:pt>
                <c:pt idx="3">
                  <c:v>0</c:v>
                </c:pt>
                <c:pt idx="4">
                  <c:v>0</c:v>
                </c:pt>
                <c:pt idx="5">
                  <c:v>0</c:v>
                </c:pt>
              </c:numCache>
            </c:numRef>
          </c:val>
          <c:smooth val="1"/>
        </c:ser>
        <c:ser>
          <c:idx val="1"/>
          <c:order val="1"/>
          <c:tx>
            <c:strRef>
              <c:f>'18'!$I$3</c:f>
              <c:strCache>
                <c:ptCount val="1"/>
                <c:pt idx="0">
                  <c:v>TÜFE</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pPr>
              </a:p>
            </c:txPr>
            <c:dLblPos val="r"/>
            <c:showLegendKey val="0"/>
            <c:showVal val="1"/>
            <c:showBubbleSize val="0"/>
            <c:showCatName val="0"/>
            <c:showSerName val="0"/>
            <c:showLeaderLines val="1"/>
            <c:showPercent val="0"/>
          </c:dLbls>
          <c:cat>
            <c:numRef>
              <c:f>'18'!$G$4:$G$9</c:f>
              <c:numCache>
                <c:ptCount val="6"/>
                <c:pt idx="0">
                  <c:v>0</c:v>
                </c:pt>
                <c:pt idx="1">
                  <c:v>0</c:v>
                </c:pt>
                <c:pt idx="2">
                  <c:v>0</c:v>
                </c:pt>
                <c:pt idx="3">
                  <c:v>0</c:v>
                </c:pt>
                <c:pt idx="4">
                  <c:v>0</c:v>
                </c:pt>
                <c:pt idx="5">
                  <c:v>0</c:v>
                </c:pt>
              </c:numCache>
            </c:numRef>
          </c:cat>
          <c:val>
            <c:numRef>
              <c:f>'18'!$I$4:$I$9</c:f>
              <c:numCache>
                <c:ptCount val="6"/>
                <c:pt idx="0">
                  <c:v>0</c:v>
                </c:pt>
                <c:pt idx="1">
                  <c:v>0</c:v>
                </c:pt>
                <c:pt idx="2">
                  <c:v>0</c:v>
                </c:pt>
                <c:pt idx="3">
                  <c:v>0</c:v>
                </c:pt>
                <c:pt idx="4">
                  <c:v>0</c:v>
                </c:pt>
                <c:pt idx="5">
                  <c:v>0</c:v>
                </c:pt>
              </c:numCache>
            </c:numRef>
          </c:val>
          <c:smooth val="1"/>
        </c:ser>
        <c:marker val="1"/>
        <c:axId val="54608148"/>
        <c:axId val="21711285"/>
      </c:lineChart>
      <c:catAx>
        <c:axId val="54608148"/>
        <c:scaling>
          <c:orientation val="minMax"/>
        </c:scaling>
        <c:axPos val="b"/>
        <c:delete val="0"/>
        <c:numFmt formatCode="General" sourceLinked="1"/>
        <c:majorTickMark val="out"/>
        <c:minorTickMark val="none"/>
        <c:tickLblPos val="nextTo"/>
        <c:txPr>
          <a:bodyPr/>
          <a:lstStyle/>
          <a:p>
            <a:pPr>
              <a:defRPr lang="en-US" cap="none" sz="900" b="1" i="0" u="none" baseline="0"/>
            </a:pPr>
          </a:p>
        </c:txPr>
        <c:crossAx val="21711285"/>
        <c:crosses val="autoZero"/>
        <c:auto val="1"/>
        <c:lblOffset val="100"/>
        <c:noMultiLvlLbl val="0"/>
      </c:catAx>
      <c:valAx>
        <c:axId val="21711285"/>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54608148"/>
        <c:crossesAt val="1"/>
        <c:crossBetween val="between"/>
        <c:dispUnits/>
      </c:valAx>
      <c:spPr>
        <a:blipFill>
          <a:blip r:embed="rId1"/>
          <a:srcRect/>
          <a:tile sx="100000" sy="100000" flip="none" algn="tl"/>
        </a:blipFill>
        <a:ln w="3175">
          <a:noFill/>
        </a:ln>
      </c:spPr>
    </c:plotArea>
    <c:legend>
      <c:legendPos val="b"/>
      <c:layout>
        <c:manualLayout>
          <c:xMode val="edge"/>
          <c:yMode val="edge"/>
          <c:x val="0.04575"/>
          <c:y val="0.928"/>
          <c:w val="0.9195"/>
          <c:h val="0.062"/>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25400">
      <a:solidFill/>
    </a:ln>
    <a:effectLst>
      <a:outerShdw dist="35921" dir="2700000" algn="br">
        <a:prstClr val="black"/>
      </a:outerShdw>
    </a:effectLst>
  </c:spPr>
  <c:txPr>
    <a:bodyPr vert="horz" rot="0"/>
    <a:lstStyle/>
    <a:p>
      <a:pPr>
        <a:defRPr lang="en-US" cap="none" sz="1125" b="0" i="0" u="none" baseline="0">
          <a:latin typeface="Arial Tur"/>
          <a:ea typeface="Arial Tur"/>
          <a:cs typeface="Arial Tu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FF"/>
                </a:solidFill>
              </a:rPr>
              <a:t>Grafik 1 - KADRO VE ÇALIŞAN PERSONEL DAĞILIMI ( 31.03.2006 )</a:t>
            </a:r>
          </a:p>
        </c:rich>
      </c:tx>
      <c:layout>
        <c:manualLayout>
          <c:xMode val="factor"/>
          <c:yMode val="factor"/>
          <c:x val="-0.00175"/>
          <c:y val="0.0315"/>
        </c:manualLayout>
      </c:layout>
      <c:spPr>
        <a:noFill/>
        <a:ln>
          <a:noFill/>
        </a:ln>
      </c:spPr>
    </c:title>
    <c:plotArea>
      <c:layout>
        <c:manualLayout>
          <c:xMode val="edge"/>
          <c:yMode val="edge"/>
          <c:x val="0.04025"/>
          <c:y val="0.21"/>
          <c:w val="0.81325"/>
          <c:h val="0.73975"/>
        </c:manualLayout>
      </c:layout>
      <c:barChart>
        <c:barDir val="col"/>
        <c:grouping val="clustered"/>
        <c:varyColors val="0"/>
        <c:ser>
          <c:idx val="0"/>
          <c:order val="0"/>
          <c:tx>
            <c:strRef>
              <c:f>3!$B$4</c:f>
              <c:strCache>
                <c:ptCount val="1"/>
                <c:pt idx="0">
                  <c:v>KADRO</c:v>
                </c:pt>
              </c:strCache>
            </c:strRef>
          </c:tx>
          <c:spPr>
            <a:pattFill prst="wdUpDiag">
              <a:fgClr>
                <a:srgbClr val="FF6600"/>
              </a:fgClr>
              <a:bgClr>
                <a:srgbClr val="000000"/>
              </a:bgClr>
            </a:pattFill>
            <a:ln w="127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3!$A$5:$A$8</c:f>
              <c:strCache/>
            </c:strRef>
          </c:cat>
          <c:val>
            <c:numRef>
              <c:f>3!$B$5:$B$8</c:f>
              <c:numCache/>
            </c:numRef>
          </c:val>
        </c:ser>
        <c:ser>
          <c:idx val="2"/>
          <c:order val="1"/>
          <c:tx>
            <c:strRef>
              <c:f>3!$D$4</c:f>
              <c:strCache>
                <c:ptCount val="1"/>
                <c:pt idx="0">
                  <c:v>ÇALIŞAN</c:v>
                </c:pt>
              </c:strCache>
            </c:strRef>
          </c:tx>
          <c:spPr>
            <a:gradFill rotWithShape="1">
              <a:gsLst>
                <a:gs pos="0">
                  <a:srgbClr val="755E00"/>
                </a:gs>
                <a:gs pos="50000">
                  <a:srgbClr val="FFCC00"/>
                </a:gs>
                <a:gs pos="100000">
                  <a:srgbClr val="755E00"/>
                </a:gs>
              </a:gsLst>
              <a:lin ang="5400000" scaled="1"/>
            </a:gra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3!$A$5:$A$8</c:f>
              <c:strCache/>
            </c:strRef>
          </c:cat>
          <c:val>
            <c:numRef>
              <c:f>3!$D$5:$D$8</c:f>
              <c:numCache/>
            </c:numRef>
          </c:val>
        </c:ser>
        <c:axId val="17856958"/>
        <c:axId val="26494895"/>
      </c:barChart>
      <c:catAx>
        <c:axId val="17856958"/>
        <c:scaling>
          <c:orientation val="minMax"/>
        </c:scaling>
        <c:axPos val="b"/>
        <c:title>
          <c:tx>
            <c:rich>
              <a:bodyPr vert="horz" rot="0" anchor="ctr"/>
              <a:lstStyle/>
              <a:p>
                <a:pPr algn="ctr">
                  <a:defRPr/>
                </a:pPr>
                <a:r>
                  <a:rPr lang="en-US" cap="none" sz="800" b="1" i="0" u="none" baseline="0"/>
                  <a:t>Kişi</a:t>
                </a:r>
              </a:p>
            </c:rich>
          </c:tx>
          <c:layout>
            <c:manualLayout>
              <c:xMode val="factor"/>
              <c:yMode val="factor"/>
              <c:x val="0.262"/>
              <c:y val="-0.12025"/>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pPr>
          </a:p>
        </c:txPr>
        <c:crossAx val="26494895"/>
        <c:crosses val="autoZero"/>
        <c:auto val="1"/>
        <c:lblOffset val="100"/>
        <c:noMultiLvlLbl val="0"/>
      </c:catAx>
      <c:valAx>
        <c:axId val="26494895"/>
        <c:scaling>
          <c:orientation val="minMax"/>
          <c:max val="27500"/>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17856958"/>
        <c:crossesAt val="1"/>
        <c:crossBetween val="between"/>
        <c:dispUnits/>
        <c:majorUnit val="2500"/>
      </c:valAx>
      <c:spPr>
        <a:blipFill>
          <a:blip r:embed="rId1"/>
          <a:srcRect/>
          <a:tile sx="100000" sy="100000" flip="none" algn="tl"/>
        </a:blipFill>
        <a:ln w="3175">
          <a:noFill/>
        </a:ln>
      </c:spPr>
    </c:plotArea>
    <c:legend>
      <c:legendPos val="r"/>
      <c:layout>
        <c:manualLayout>
          <c:xMode val="edge"/>
          <c:yMode val="edge"/>
          <c:x val="0.87425"/>
          <c:y val="0.13075"/>
          <c:w val="0.12025"/>
          <c:h val="0.17575"/>
        </c:manualLayout>
      </c:layout>
      <c:overlay val="0"/>
      <c:spPr>
        <a:blipFill>
          <a:blip r:embed="rId2"/>
          <a:srcRect/>
          <a:tile sx="100000" sy="100000" flip="none" algn="tl"/>
        </a:blipFill>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675"/>
          <c:y val="0.194"/>
          <c:w val="0.967"/>
          <c:h val="0.58475"/>
        </c:manualLayout>
      </c:layout>
      <c:barChart>
        <c:barDir val="col"/>
        <c:grouping val="clustered"/>
        <c:varyColors val="0"/>
        <c:ser>
          <c:idx val="1"/>
          <c:order val="0"/>
          <c:tx>
            <c:v>Sağlık Giderleri</c:v>
          </c:tx>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1"/>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2"/>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3"/>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4"/>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5"/>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cat>
            <c:strRef>
              <c:f>'20'!$A$11:$A$16</c:f>
              <c:strCache/>
            </c:strRef>
          </c:cat>
          <c:val>
            <c:numRef>
              <c:f>'20'!$B$11:$B$16</c:f>
              <c:numCache>
                <c:ptCount val="6"/>
                <c:pt idx="0">
                  <c:v>0</c:v>
                </c:pt>
                <c:pt idx="1">
                  <c:v>0</c:v>
                </c:pt>
                <c:pt idx="2">
                  <c:v>0</c:v>
                </c:pt>
                <c:pt idx="3">
                  <c:v>0</c:v>
                </c:pt>
                <c:pt idx="4">
                  <c:v>0</c:v>
                </c:pt>
                <c:pt idx="5">
                  <c:v>0</c:v>
                </c:pt>
              </c:numCache>
            </c:numRef>
          </c:val>
        </c:ser>
        <c:ser>
          <c:idx val="0"/>
          <c:order val="1"/>
          <c:tx>
            <c:v>İlaç Giderleri</c:v>
          </c:tx>
          <c:spPr>
            <a:gradFill rotWithShape="1">
              <a:gsLst>
                <a:gs pos="0">
                  <a:srgbClr val="757500"/>
                </a:gs>
                <a:gs pos="100000">
                  <a:srgbClr val="FFFF00"/>
                </a:gs>
              </a:gsLst>
              <a:lin ang="5400000" scaled="1"/>
            </a:gra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'20'!$A$11:$A$16</c:f>
              <c:strCache/>
            </c:strRef>
          </c:cat>
          <c:val>
            <c:numRef>
              <c:f>'20'!$C$11:$C$16</c:f>
              <c:numCache>
                <c:ptCount val="6"/>
                <c:pt idx="0">
                  <c:v>0</c:v>
                </c:pt>
                <c:pt idx="1">
                  <c:v>0</c:v>
                </c:pt>
                <c:pt idx="2">
                  <c:v>0</c:v>
                </c:pt>
                <c:pt idx="3">
                  <c:v>0</c:v>
                </c:pt>
                <c:pt idx="4">
                  <c:v>0</c:v>
                </c:pt>
                <c:pt idx="5">
                  <c:v>0</c:v>
                </c:pt>
              </c:numCache>
            </c:numRef>
          </c:val>
        </c:ser>
        <c:axId val="61183838"/>
        <c:axId val="13783631"/>
      </c:barChart>
      <c:lineChart>
        <c:grouping val="standard"/>
        <c:varyColors val="0"/>
        <c:ser>
          <c:idx val="2"/>
          <c:order val="2"/>
          <c:tx>
            <c:v>İlaç Giderlerin Sağlık Giderleri İçindeki Oranı</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pPr>
              </a:p>
            </c:txPr>
            <c:showLegendKey val="0"/>
            <c:showVal val="1"/>
            <c:showBubbleSize val="0"/>
            <c:showCatName val="0"/>
            <c:showSerName val="0"/>
            <c:showLeaderLines val="1"/>
            <c:showPercent val="0"/>
          </c:dLbls>
          <c:cat>
            <c:strRef>
              <c:f>'20'!$A$11:$A$16</c:f>
              <c:strCache/>
            </c:strRef>
          </c:cat>
          <c:val>
            <c:numRef>
              <c:f>'20'!$E$11:$E$16</c:f>
              <c:numCache>
                <c:ptCount val="6"/>
                <c:pt idx="0">
                  <c:v>0</c:v>
                </c:pt>
                <c:pt idx="1">
                  <c:v>0</c:v>
                </c:pt>
                <c:pt idx="2">
                  <c:v>0</c:v>
                </c:pt>
                <c:pt idx="3">
                  <c:v>0</c:v>
                </c:pt>
                <c:pt idx="4">
                  <c:v>0</c:v>
                </c:pt>
                <c:pt idx="5">
                  <c:v>0</c:v>
                </c:pt>
              </c:numCache>
            </c:numRef>
          </c:val>
          <c:smooth val="0"/>
        </c:ser>
        <c:axId val="56943816"/>
        <c:axId val="42732297"/>
      </c:lineChart>
      <c:catAx>
        <c:axId val="61183838"/>
        <c:scaling>
          <c:orientation val="minMax"/>
        </c:scaling>
        <c:axPos val="b"/>
        <c:delete val="0"/>
        <c:numFmt formatCode="General" sourceLinked="1"/>
        <c:majorTickMark val="in"/>
        <c:minorTickMark val="none"/>
        <c:tickLblPos val="nextTo"/>
        <c:spPr>
          <a:ln w="25400">
            <a:solidFill/>
          </a:ln>
        </c:spPr>
        <c:txPr>
          <a:bodyPr/>
          <a:lstStyle/>
          <a:p>
            <a:pPr>
              <a:defRPr lang="en-US" cap="none" sz="800" b="1" i="0" u="none" baseline="0"/>
            </a:pPr>
          </a:p>
        </c:txPr>
        <c:crossAx val="13783631"/>
        <c:crosses val="autoZero"/>
        <c:auto val="0"/>
        <c:lblOffset val="100"/>
        <c:noMultiLvlLbl val="0"/>
      </c:catAx>
      <c:valAx>
        <c:axId val="13783631"/>
        <c:scaling>
          <c:orientation val="minMax"/>
        </c:scaling>
        <c:axPos val="l"/>
        <c:delete val="0"/>
        <c:numFmt formatCode="General" sourceLinked="1"/>
        <c:majorTickMark val="in"/>
        <c:minorTickMark val="none"/>
        <c:tickLblPos val="nextTo"/>
        <c:spPr>
          <a:ln w="25400">
            <a:solidFill/>
          </a:ln>
        </c:spPr>
        <c:txPr>
          <a:bodyPr/>
          <a:lstStyle/>
          <a:p>
            <a:pPr>
              <a:defRPr lang="en-US" cap="none" sz="800" b="1" i="0" u="none" baseline="0"/>
            </a:pPr>
          </a:p>
        </c:txPr>
        <c:crossAx val="61183838"/>
        <c:crossesAt val="1"/>
        <c:crossBetween val="between"/>
        <c:dispUnits/>
      </c:valAx>
      <c:catAx>
        <c:axId val="56943816"/>
        <c:scaling>
          <c:orientation val="minMax"/>
        </c:scaling>
        <c:axPos val="b"/>
        <c:delete val="1"/>
        <c:majorTickMark val="in"/>
        <c:minorTickMark val="none"/>
        <c:tickLblPos val="nextTo"/>
        <c:crossAx val="42732297"/>
        <c:crosses val="autoZero"/>
        <c:auto val="0"/>
        <c:lblOffset val="100"/>
        <c:noMultiLvlLbl val="0"/>
      </c:catAx>
      <c:valAx>
        <c:axId val="42732297"/>
        <c:scaling>
          <c:orientation val="minMax"/>
        </c:scaling>
        <c:axPos val="l"/>
        <c:delete val="0"/>
        <c:numFmt formatCode="General" sourceLinked="1"/>
        <c:majorTickMark val="in"/>
        <c:minorTickMark val="none"/>
        <c:tickLblPos val="nextTo"/>
        <c:txPr>
          <a:bodyPr/>
          <a:lstStyle/>
          <a:p>
            <a:pPr>
              <a:defRPr lang="en-US" cap="none" sz="800" b="1" i="0" u="none" baseline="0"/>
            </a:pPr>
          </a:p>
        </c:txPr>
        <c:crossAx val="56943816"/>
        <c:crosses val="max"/>
        <c:crossBetween val="between"/>
        <c:dispUnits/>
      </c:valAx>
      <c:spPr>
        <a:blipFill>
          <a:blip r:embed="rId2"/>
          <a:srcRect/>
          <a:tile sx="100000" sy="100000" flip="none" algn="tl"/>
        </a:blipFill>
        <a:ln w="3175">
          <a:noFill/>
        </a:ln>
      </c:spPr>
    </c:plotArea>
    <c:legend>
      <c:legendPos val="b"/>
      <c:layout>
        <c:manualLayout>
          <c:xMode val="edge"/>
          <c:yMode val="edge"/>
          <c:x val="0"/>
          <c:y val="0.81325"/>
          <c:w val="0.8895"/>
          <c:h val="0.177"/>
        </c:manualLayout>
      </c:layout>
      <c:overlay val="0"/>
      <c:spPr>
        <a:blipFill>
          <a:blip r:embed="rId3"/>
          <a:srcRect/>
          <a:tile sx="100000" sy="100000" flip="none" algn="tl"/>
        </a:blipFill>
        <a:ln w="3175">
          <a:noFill/>
        </a:ln>
      </c:spPr>
      <c:txPr>
        <a:bodyPr vert="horz" rot="0"/>
        <a:lstStyle/>
        <a:p>
          <a:pPr>
            <a:defRPr lang="en-US" cap="none" sz="1100" b="0" i="0" u="none" baseline="0">
              <a:latin typeface="Arial Tur"/>
              <a:ea typeface="Arial Tur"/>
              <a:cs typeface="Arial Tur"/>
            </a:defRPr>
          </a:pPr>
        </a:p>
      </c:txPr>
    </c:legend>
    <c:plotVisOnly val="1"/>
    <c:dispBlanksAs val="gap"/>
    <c:showDLblsOverMax val="0"/>
  </c:chart>
  <c:spPr>
    <a:blipFill>
      <a:blip r:embed="rId4"/>
      <a:srcRect/>
      <a:tile sx="100000" sy="100000" flip="none" algn="tl"/>
    </a:blipFill>
    <a:ln w="254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17 - Yıllar İtibariyle  Sağlık Tesislerinde Gerçekleşen Poliklinik Sayıları</a:t>
            </a:r>
          </a:p>
        </c:rich>
      </c:tx>
      <c:layout/>
      <c:spPr>
        <a:noFill/>
        <a:ln>
          <a:noFill/>
        </a:ln>
      </c:spPr>
    </c:title>
    <c:plotArea>
      <c:layout/>
      <c:barChart>
        <c:barDir val="col"/>
        <c:grouping val="clustered"/>
        <c:varyColors val="0"/>
        <c:ser>
          <c:idx val="0"/>
          <c:order val="0"/>
          <c:tx>
            <c:strRef>
              <c:f>'21'!$A$5</c:f>
              <c:strCache>
                <c:ptCount val="1"/>
                <c:pt idx="0">
                  <c:v>POLİKLİNİK SAYISI</c:v>
                </c:pt>
              </c:strCache>
            </c:strRef>
          </c:tx>
          <c:spPr>
            <a:gradFill rotWithShape="1">
              <a:gsLst>
                <a:gs pos="0">
                  <a:srgbClr val="FF8200"/>
                </a:gs>
                <a:gs pos="10001">
                  <a:srgbClr val="FF0000"/>
                </a:gs>
                <a:gs pos="35001">
                  <a:srgbClr val="BA0066"/>
                </a:gs>
                <a:gs pos="70000">
                  <a:srgbClr val="66008F"/>
                </a:gs>
                <a:gs pos="100000">
                  <a:srgbClr val="000082"/>
                </a:gs>
              </a:gsLst>
              <a:lin ang="5400000" scaled="1"/>
            </a:gra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'21'!$B$4:$F$4</c:f>
              <c:numCache>
                <c:ptCount val="5"/>
                <c:pt idx="0">
                  <c:v>0</c:v>
                </c:pt>
                <c:pt idx="1">
                  <c:v>0</c:v>
                </c:pt>
                <c:pt idx="2">
                  <c:v>0</c:v>
                </c:pt>
                <c:pt idx="3">
                  <c:v>0</c:v>
                </c:pt>
                <c:pt idx="4">
                  <c:v>0</c:v>
                </c:pt>
              </c:numCache>
            </c:numRef>
          </c:cat>
          <c:val>
            <c:numRef>
              <c:f>'21'!$B$5:$F$5</c:f>
              <c:numCache>
                <c:ptCount val="5"/>
                <c:pt idx="0">
                  <c:v>0</c:v>
                </c:pt>
                <c:pt idx="1">
                  <c:v>0</c:v>
                </c:pt>
                <c:pt idx="2">
                  <c:v>0</c:v>
                </c:pt>
                <c:pt idx="3">
                  <c:v>0</c:v>
                </c:pt>
                <c:pt idx="4">
                  <c:v>0</c:v>
                </c:pt>
              </c:numCache>
            </c:numRef>
          </c:val>
        </c:ser>
        <c:axId val="49046354"/>
        <c:axId val="38764003"/>
      </c:barChart>
      <c:catAx>
        <c:axId val="49046354"/>
        <c:scaling>
          <c:orientation val="minMax"/>
        </c:scaling>
        <c:axPos val="b"/>
        <c:delete val="0"/>
        <c:numFmt formatCode="General" sourceLinked="1"/>
        <c:majorTickMark val="out"/>
        <c:minorTickMark val="none"/>
        <c:tickLblPos val="nextTo"/>
        <c:txPr>
          <a:bodyPr/>
          <a:lstStyle/>
          <a:p>
            <a:pPr>
              <a:defRPr lang="en-US" cap="none" sz="875" b="1" i="0" u="none" baseline="0"/>
            </a:pPr>
          </a:p>
        </c:txPr>
        <c:crossAx val="38764003"/>
        <c:crosses val="autoZero"/>
        <c:auto val="1"/>
        <c:lblOffset val="100"/>
        <c:noMultiLvlLbl val="0"/>
      </c:catAx>
      <c:valAx>
        <c:axId val="38764003"/>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75" b="1" i="0" u="none" baseline="0"/>
            </a:pPr>
          </a:p>
        </c:txPr>
        <c:crossAx val="49046354"/>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125" b="0" i="0" u="none" baseline="0">
          <a:latin typeface="Arial Tur"/>
          <a:ea typeface="Arial Tur"/>
          <a:cs typeface="Arial Tu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Grafik 2 - MERKEZ TEŞKİLATI KADRO VE ÇALIŞAN PERSONEL DAĞILIMI </a:t>
            </a:r>
            <a:r>
              <a:rPr lang="en-US" cap="none" sz="625" b="1" i="0" u="none" baseline="0"/>
              <a:t>( 31.03.2006 )</a:t>
            </a:r>
          </a:p>
        </c:rich>
      </c:tx>
      <c:layout>
        <c:manualLayout>
          <c:xMode val="factor"/>
          <c:yMode val="factor"/>
          <c:x val="-0.0365"/>
          <c:y val="-0.00475"/>
        </c:manualLayout>
      </c:layout>
      <c:spPr>
        <a:noFill/>
        <a:ln>
          <a:noFill/>
        </a:ln>
      </c:spPr>
    </c:title>
    <c:plotArea>
      <c:layout>
        <c:manualLayout>
          <c:xMode val="edge"/>
          <c:yMode val="edge"/>
          <c:x val="0.018"/>
          <c:y val="0.254"/>
          <c:w val="0.8765"/>
          <c:h val="0.67675"/>
        </c:manualLayout>
      </c:layout>
      <c:barChart>
        <c:barDir val="col"/>
        <c:grouping val="clustered"/>
        <c:varyColors val="0"/>
        <c:ser>
          <c:idx val="0"/>
          <c:order val="0"/>
          <c:tx>
            <c:strRef>
              <c:f>3!$B$27</c:f>
              <c:strCache>
                <c:ptCount val="1"/>
                <c:pt idx="0">
                  <c:v>KADRO</c:v>
                </c:pt>
              </c:strCache>
            </c:strRef>
          </c:tx>
          <c:spPr>
            <a:solidFill>
              <a:srgbClr val="0000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3!$A$28:$A$33</c:f>
              <c:strCache/>
            </c:strRef>
          </c:cat>
          <c:val>
            <c:numRef>
              <c:f>3!$B$28:$B$33</c:f>
              <c:numCache/>
            </c:numRef>
          </c:val>
        </c:ser>
        <c:ser>
          <c:idx val="2"/>
          <c:order val="1"/>
          <c:tx>
            <c:strRef>
              <c:f>3!$D$27</c:f>
              <c:strCache>
                <c:ptCount val="1"/>
                <c:pt idx="0">
                  <c:v>ÇALIŞAN</c:v>
                </c:pt>
              </c:strCache>
            </c:strRef>
          </c:tx>
          <c:spPr>
            <a:solidFill>
              <a:srgbClr val="FFFF00"/>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3!$A$28:$A$33</c:f>
              <c:strCache/>
            </c:strRef>
          </c:cat>
          <c:val>
            <c:numRef>
              <c:f>3!$D$28:$D$33</c:f>
              <c:numCache/>
            </c:numRef>
          </c:val>
        </c:ser>
        <c:axId val="37127464"/>
        <c:axId val="65711721"/>
      </c:barChart>
      <c:catAx>
        <c:axId val="37127464"/>
        <c:scaling>
          <c:orientation val="minMax"/>
        </c:scaling>
        <c:axPos val="b"/>
        <c:title>
          <c:tx>
            <c:rich>
              <a:bodyPr vert="horz" rot="0" anchor="ctr"/>
              <a:lstStyle/>
              <a:p>
                <a:pPr algn="ctr">
                  <a:defRPr/>
                </a:pPr>
                <a:r>
                  <a:rPr lang="en-US" cap="none" sz="800" b="1" i="0" u="none" baseline="0"/>
                  <a:t>KİŞİ</a:t>
                </a:r>
              </a:p>
            </c:rich>
          </c:tx>
          <c:layout>
            <c:manualLayout>
              <c:xMode val="factor"/>
              <c:yMode val="factor"/>
              <c:x val="0.26675"/>
              <c:y val="-0.118"/>
            </c:manualLayout>
          </c:layout>
          <c:overlay val="0"/>
          <c:spPr>
            <a:noFill/>
            <a:ln>
              <a:noFill/>
            </a:ln>
          </c:spPr>
        </c:title>
        <c:delete val="0"/>
        <c:numFmt formatCode="General" sourceLinked="1"/>
        <c:majorTickMark val="out"/>
        <c:minorTickMark val="none"/>
        <c:tickLblPos val="nextTo"/>
        <c:txPr>
          <a:bodyPr/>
          <a:lstStyle/>
          <a:p>
            <a:pPr>
              <a:defRPr lang="en-US" cap="none" sz="625" b="1" i="0" u="none" baseline="0"/>
            </a:pPr>
          </a:p>
        </c:txPr>
        <c:crossAx val="65711721"/>
        <c:crosses val="autoZero"/>
        <c:auto val="1"/>
        <c:lblOffset val="100"/>
        <c:noMultiLvlLbl val="0"/>
      </c:catAx>
      <c:valAx>
        <c:axId val="65711721"/>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37127464"/>
        <c:crossesAt val="1"/>
        <c:crossBetween val="between"/>
        <c:dispUnits/>
      </c:valAx>
      <c:spPr>
        <a:blipFill>
          <a:blip r:embed="rId1"/>
          <a:srcRect/>
          <a:tile sx="100000" sy="100000" flip="none" algn="tl"/>
        </a:blipFill>
        <a:ln w="3175">
          <a:noFill/>
        </a:ln>
      </c:spPr>
    </c:plotArea>
    <c:legend>
      <c:legendPos val="r"/>
      <c:layout>
        <c:manualLayout>
          <c:xMode val="edge"/>
          <c:yMode val="edge"/>
          <c:x val="0.87675"/>
          <c:y val="0.09"/>
        </c:manualLayout>
      </c:layout>
      <c:overlay val="0"/>
      <c:spPr>
        <a:blipFill>
          <a:blip r:embed="rId2"/>
          <a:srcRect/>
          <a:tile sx="100000" sy="100000" flip="none" algn="tl"/>
        </a:blipFill>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975" b="0" i="0" u="none" baseline="0">
          <a:latin typeface="Arial Tur"/>
          <a:ea typeface="Arial Tur"/>
          <a:cs typeface="Arial Tu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Grafik 2 - MERKEZ TEŞKİLATI KADRO VE ÇALIŞAN PERSONEL DAĞILIMI </a:t>
            </a:r>
            <a:r>
              <a:rPr lang="en-US" cap="none" sz="225" b="1" i="0" u="none" baseline="0"/>
              <a:t>( 28.02.2006 )</a:t>
            </a:r>
          </a:p>
        </c:rich>
      </c:tx>
      <c:layout/>
      <c:spPr>
        <a:noFill/>
        <a:ln>
          <a:noFill/>
        </a:ln>
      </c:spPr>
    </c:title>
    <c:plotArea>
      <c:layout/>
      <c:barChart>
        <c:barDir val="col"/>
        <c:grouping val="clustered"/>
        <c:varyColors val="0"/>
        <c:ser>
          <c:idx val="0"/>
          <c:order val="0"/>
          <c:tx>
            <c:strRef>
              <c:f>3!$B$27</c:f>
              <c:strCache>
                <c:ptCount val="1"/>
                <c:pt idx="0">
                  <c:v>KADRO</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3!$B$28:$B$33</c:f>
              <c:numCache>
                <c:ptCount val="6"/>
                <c:pt idx="0">
                  <c:v>1515</c:v>
                </c:pt>
                <c:pt idx="1">
                  <c:v>1997</c:v>
                </c:pt>
                <c:pt idx="2">
                  <c:v>1518</c:v>
                </c:pt>
                <c:pt idx="3">
                  <c:v>119</c:v>
                </c:pt>
                <c:pt idx="4">
                  <c:v>51</c:v>
                </c:pt>
                <c:pt idx="5">
                  <c:v>5200</c:v>
                </c:pt>
              </c:numCache>
            </c:numRef>
          </c:val>
        </c:ser>
        <c:ser>
          <c:idx val="2"/>
          <c:order val="1"/>
          <c:tx>
            <c:strRef>
              <c:f>3!$D$27</c:f>
              <c:strCache>
                <c:ptCount val="1"/>
                <c:pt idx="0">
                  <c:v>ÇALIŞAN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3!$D$28:$D$33</c:f>
              <c:numCache>
                <c:ptCount val="6"/>
                <c:pt idx="0">
                  <c:v>876</c:v>
                </c:pt>
                <c:pt idx="1">
                  <c:v>1505</c:v>
                </c:pt>
                <c:pt idx="2">
                  <c:v>679</c:v>
                </c:pt>
                <c:pt idx="3">
                  <c:v>40</c:v>
                </c:pt>
                <c:pt idx="4">
                  <c:v>0</c:v>
                </c:pt>
                <c:pt idx="5">
                  <c:v>3100</c:v>
                </c:pt>
              </c:numCache>
            </c:numRef>
          </c:val>
        </c:ser>
        <c:axId val="54534578"/>
        <c:axId val="21049155"/>
      </c:barChart>
      <c:catAx>
        <c:axId val="54534578"/>
        <c:scaling>
          <c:orientation val="minMax"/>
        </c:scaling>
        <c:axPos val="b"/>
        <c:title>
          <c:tx>
            <c:rich>
              <a:bodyPr vert="horz" rot="0" anchor="ctr"/>
              <a:lstStyle/>
              <a:p>
                <a:pPr algn="ctr">
                  <a:defRPr/>
                </a:pPr>
                <a:r>
                  <a:rPr lang="en-US" cap="none" sz="250" b="1" i="0" u="none" baseline="0"/>
                  <a:t>KİŞİ</a:t>
                </a:r>
              </a:p>
            </c:rich>
          </c:tx>
          <c:layout/>
          <c:overlay val="0"/>
          <c:spPr>
            <a:noFill/>
            <a:ln>
              <a:noFill/>
            </a:ln>
          </c:spPr>
        </c:title>
        <c:delete val="0"/>
        <c:numFmt formatCode="General" sourceLinked="1"/>
        <c:majorTickMark val="out"/>
        <c:minorTickMark val="none"/>
        <c:tickLblPos val="nextTo"/>
        <c:txPr>
          <a:bodyPr/>
          <a:lstStyle/>
          <a:p>
            <a:pPr>
              <a:defRPr lang="en-US" cap="none" sz="275" b="1" i="0" u="none" baseline="0"/>
            </a:pPr>
          </a:p>
        </c:txPr>
        <c:crossAx val="21049155"/>
        <c:crosses val="autoZero"/>
        <c:auto val="1"/>
        <c:lblOffset val="100"/>
        <c:noMultiLvlLbl val="0"/>
      </c:catAx>
      <c:valAx>
        <c:axId val="2104915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250" b="1" i="0" u="none" baseline="0"/>
            </a:pPr>
          </a:p>
        </c:txPr>
        <c:crossAx val="54534578"/>
        <c:crossesAt val="1"/>
        <c:crossBetween val="between"/>
        <c:dispUnits/>
      </c:valAx>
      <c:spPr>
        <a:solidFill>
          <a:srgbClr val="FFFFFF"/>
        </a:solidFill>
        <a:ln w="3175">
          <a:noFill/>
        </a:ln>
      </c:spPr>
    </c:plotArea>
    <c:legend>
      <c:legendPos val="r"/>
      <c:layout/>
      <c:overlay val="0"/>
      <c:txPr>
        <a:bodyPr vert="horz" rot="0"/>
        <a:lstStyle/>
        <a:p>
          <a:pPr>
            <a:defRPr lang="en-US" cap="none" sz="250" b="1" i="0" u="none" baseline="0"/>
          </a:pPr>
        </a:p>
      </c:txPr>
    </c:legend>
    <c:plotVisOnly val="1"/>
    <c:dispBlanksAs val="gap"/>
    <c:showDLblsOverMax val="0"/>
  </c:chart>
  <c:txPr>
    <a:bodyPr vert="horz" rot="0"/>
    <a:lstStyle/>
    <a:p>
      <a:pPr>
        <a:defRPr lang="en-US" cap="none" sz="350" b="0" i="0" u="none" baseline="0">
          <a:latin typeface="Arial Tur"/>
          <a:ea typeface="Arial Tur"/>
          <a:cs typeface="Arial Tu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FF"/>
                </a:solidFill>
              </a:rPr>
              <a:t>Grafik 3 - TAŞRA TEŞKİLATI  PERSONEL DURUMU ( Sigorta Tesisleri )</a:t>
            </a:r>
          </a:p>
        </c:rich>
      </c:tx>
      <c:layout>
        <c:manualLayout>
          <c:xMode val="factor"/>
          <c:yMode val="factor"/>
          <c:x val="0.00175"/>
          <c:y val="0.07225"/>
        </c:manualLayout>
      </c:layout>
      <c:spPr>
        <a:noFill/>
        <a:ln>
          <a:noFill/>
        </a:ln>
      </c:spPr>
    </c:title>
    <c:view3D>
      <c:rotX val="15"/>
      <c:rotY val="20"/>
      <c:depthPercent val="100"/>
      <c:rAngAx val="1"/>
    </c:view3D>
    <c:plotArea>
      <c:layout>
        <c:manualLayout>
          <c:xMode val="edge"/>
          <c:yMode val="edge"/>
          <c:x val="0.023"/>
          <c:y val="0.259"/>
          <c:w val="0.81025"/>
          <c:h val="0.69525"/>
        </c:manualLayout>
      </c:layout>
      <c:bar3DChart>
        <c:barDir val="col"/>
        <c:grouping val="clustered"/>
        <c:varyColors val="0"/>
        <c:ser>
          <c:idx val="0"/>
          <c:order val="0"/>
          <c:tx>
            <c:strRef>
              <c:f>4!$B$5</c:f>
              <c:strCache>
                <c:ptCount val="1"/>
                <c:pt idx="0">
                  <c:v>KADRO</c:v>
                </c:pt>
              </c:strCache>
            </c:strRef>
          </c:tx>
          <c:spPr>
            <a:solidFill>
              <a:srgbClr val="33CCCC"/>
            </a:solidFill>
          </c:spPr>
          <c:invertIfNegative val="0"/>
          <c:extLst>
            <c:ext xmlns:c14="http://schemas.microsoft.com/office/drawing/2007/8/2/chart" uri="{6F2FDCE9-48DA-4B69-8628-5D25D57E5C99}">
              <c14:invertSolidFillFmt>
                <c14:spPr>
                  <a:solidFill>
                    <a:srgbClr val="FF66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4!$B$6:$B$9</c:f>
              <c:numCache/>
            </c:numRef>
          </c:val>
          <c:shape val="cylinder"/>
        </c:ser>
        <c:ser>
          <c:idx val="1"/>
          <c:order val="1"/>
          <c:tx>
            <c:strRef>
              <c:f>4!$C$5</c:f>
              <c:strCache>
                <c:ptCount val="1"/>
                <c:pt idx="0">
                  <c:v>ÇALIŞAN</c:v>
                </c:pt>
              </c:strCache>
            </c:strRef>
          </c:tx>
          <c:spPr>
            <a:pattFill prst="wdUpDiag">
              <a:fgClr>
                <a:srgbClr val="99CC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wdUpDiag">
                <a:fgClr>
                  <a:srgbClr val="99CC00"/>
                </a:fgClr>
                <a:bgClr>
                  <a:srgbClr val="000000"/>
                </a:bgClr>
              </a:pattFill>
            </c:spPr>
          </c:dP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4!$C$6:$C$9</c:f>
              <c:numCache/>
            </c:numRef>
          </c:val>
          <c:shape val="cylinder"/>
        </c:ser>
        <c:shape val="cylinder"/>
        <c:axId val="55224668"/>
        <c:axId val="27259965"/>
      </c:bar3DChart>
      <c:catAx>
        <c:axId val="55224668"/>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27259965"/>
        <c:crosses val="autoZero"/>
        <c:auto val="1"/>
        <c:lblOffset val="100"/>
        <c:noMultiLvlLbl val="0"/>
      </c:catAx>
      <c:valAx>
        <c:axId val="27259965"/>
        <c:scaling>
          <c:orientation val="minMax"/>
        </c:scaling>
        <c:axPos val="l"/>
        <c:majorGridlines>
          <c:spPr>
            <a:ln w="3175">
              <a:solidFill/>
              <a:prstDash val="sysDot"/>
            </a:ln>
          </c:spPr>
        </c:majorGridlines>
        <c:delete val="0"/>
        <c:numFmt formatCode="#,##0" sourceLinked="0"/>
        <c:majorTickMark val="out"/>
        <c:minorTickMark val="none"/>
        <c:tickLblPos val="nextTo"/>
        <c:spPr>
          <a:ln w="3175">
            <a:solidFill/>
          </a:ln>
        </c:spPr>
        <c:txPr>
          <a:bodyPr/>
          <a:lstStyle/>
          <a:p>
            <a:pPr>
              <a:defRPr lang="en-US" cap="none" sz="800" b="1" i="0" u="none" baseline="0"/>
            </a:pPr>
          </a:p>
        </c:txPr>
        <c:crossAx val="55224668"/>
        <c:crossesAt val="1"/>
        <c:crossBetween val="between"/>
        <c:dispUnits/>
      </c:valAx>
      <c:spPr>
        <a:noFill/>
        <a:ln>
          <a:noFill/>
        </a:ln>
      </c:spPr>
    </c:plotArea>
    <c:legend>
      <c:legendPos val="r"/>
      <c:layout>
        <c:manualLayout>
          <c:xMode val="edge"/>
          <c:yMode val="edge"/>
          <c:x val="0.87575"/>
          <c:y val="0.17375"/>
        </c:manualLayout>
      </c:layout>
      <c:overlay val="0"/>
      <c:spPr>
        <a:blipFill>
          <a:blip r:embed="rId1"/>
          <a:srcRect/>
          <a:tile sx="100000" sy="100000" flip="none" algn="tl"/>
        </a:blipFill>
      </c:spPr>
      <c:txPr>
        <a:bodyPr vert="horz" rot="0"/>
        <a:lstStyle/>
        <a:p>
          <a:pPr>
            <a:defRPr lang="en-US" cap="none" sz="800" b="1" i="0" u="none" baseline="0"/>
          </a:pPr>
        </a:p>
      </c:txPr>
    </c:legend>
    <c:floor>
      <c:spPr>
        <a:solidFill>
          <a:srgbClr val="808080"/>
        </a:solidFill>
      </c:spPr>
      <c:thickness val="0"/>
    </c:floor>
    <c:sideWall>
      <c:spPr>
        <a:blipFill>
          <a:blip r:embed="rId2"/>
          <a:srcRect/>
          <a:tile sx="100000" sy="100000" flip="none" algn="tl"/>
        </a:blipFill>
        <a:ln w="3175">
          <a:solidFill/>
          <a:prstDash val="sysDot"/>
        </a:ln>
      </c:spPr>
      <c:thickness val="0"/>
    </c:sideWall>
    <c:backWall>
      <c:spPr>
        <a:blipFill>
          <a:blip r:embed="rId3"/>
          <a:srcRect/>
          <a:tile sx="100000" sy="100000" flip="none" algn="tl"/>
        </a:blipFill>
        <a:ln w="3175">
          <a:solidFill/>
          <a:prstDash val="sysDot"/>
        </a:ln>
      </c:spPr>
      <c:thickness val="0"/>
    </c:backWall>
    <c:plotVisOnly val="1"/>
    <c:dispBlanksAs val="gap"/>
    <c:showDLblsOverMax val="0"/>
  </c:chart>
  <c:spPr>
    <a:blipFill>
      <a:blip r:embed="rId4"/>
      <a:srcRect/>
      <a:tile sx="100000" sy="100000" flip="none" algn="tl"/>
    </a:blipFill>
    <a:ln w="38100">
      <a:solidFill/>
    </a:ln>
    <a:effectLst>
      <a:outerShdw dist="35921" dir="2700000" algn="br">
        <a:prstClr val="black"/>
      </a:outerShdw>
    </a:effectLst>
  </c:spPr>
  <c:txPr>
    <a:bodyPr vert="horz" rot="0"/>
    <a:lstStyle/>
    <a:p>
      <a:pPr>
        <a:defRPr lang="en-US" cap="none" sz="1175" b="0" i="0" u="none" baseline="0">
          <a:latin typeface="Arial Tur"/>
          <a:ea typeface="Arial Tur"/>
          <a:cs typeface="Arial Tu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FF"/>
                </a:solidFill>
              </a:rPr>
              <a:t>Grafik 4 - TAŞRA TEŞKİLATI PERSONEL DURUMU ( Sağlık Tesisleri )</a:t>
            </a:r>
          </a:p>
        </c:rich>
      </c:tx>
      <c:layout>
        <c:manualLayout>
          <c:xMode val="factor"/>
          <c:yMode val="factor"/>
          <c:x val="-0.00175"/>
          <c:y val="0.06875"/>
        </c:manualLayout>
      </c:layout>
      <c:spPr>
        <a:noFill/>
        <a:ln>
          <a:noFill/>
        </a:ln>
      </c:spPr>
    </c:title>
    <c:view3D>
      <c:rotX val="15"/>
      <c:rotY val="20"/>
      <c:depthPercent val="100"/>
      <c:rAngAx val="1"/>
    </c:view3D>
    <c:plotArea>
      <c:layout>
        <c:manualLayout>
          <c:xMode val="edge"/>
          <c:yMode val="edge"/>
          <c:x val="0.02325"/>
          <c:y val="0.26"/>
          <c:w val="0.8085"/>
          <c:h val="0.694"/>
        </c:manualLayout>
      </c:layout>
      <c:bar3DChart>
        <c:barDir val="col"/>
        <c:grouping val="clustered"/>
        <c:varyColors val="0"/>
        <c:ser>
          <c:idx val="0"/>
          <c:order val="0"/>
          <c:tx>
            <c:strRef>
              <c:f>4!$D$5</c:f>
              <c:strCache>
                <c:ptCount val="1"/>
                <c:pt idx="0">
                  <c:v>KADRO</c:v>
                </c:pt>
              </c:strCache>
            </c:strRef>
          </c:tx>
          <c:spPr>
            <a:solidFill>
              <a:srgbClr val="33CCCC"/>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4!$D$6:$D$9</c:f>
              <c:numCache/>
            </c:numRef>
          </c:val>
          <c:shape val="cylinder"/>
        </c:ser>
        <c:ser>
          <c:idx val="1"/>
          <c:order val="1"/>
          <c:tx>
            <c:strRef>
              <c:f>4!$E$5</c:f>
              <c:strCache>
                <c:ptCount val="1"/>
                <c:pt idx="0">
                  <c:v>ÇALIŞAN</c:v>
                </c:pt>
              </c:strCache>
            </c:strRef>
          </c:tx>
          <c:spPr>
            <a:pattFill prst="weave">
              <a:fgClr>
                <a:srgbClr val="FFFF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weave">
                <a:fgClr>
                  <a:srgbClr val="FFFF00"/>
                </a:fgClr>
                <a:bgClr>
                  <a:srgbClr val="000000"/>
                </a:bgClr>
              </a:pattFill>
            </c:spPr>
          </c:dPt>
          <c:dLbls>
            <c:dLbl>
              <c:idx val="0"/>
              <c:layout>
                <c:manualLayout>
                  <c:x val="0"/>
                  <c:y val="0"/>
                </c:manualLayout>
              </c:layout>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4!$E$6:$E$9</c:f>
              <c:numCache/>
            </c:numRef>
          </c:val>
          <c:shape val="cylinder"/>
        </c:ser>
        <c:shape val="cylinder"/>
        <c:axId val="44013094"/>
        <c:axId val="60573527"/>
      </c:bar3DChart>
      <c:catAx>
        <c:axId val="44013094"/>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60573527"/>
        <c:crosses val="autoZero"/>
        <c:auto val="1"/>
        <c:lblOffset val="100"/>
        <c:noMultiLvlLbl val="0"/>
      </c:catAx>
      <c:valAx>
        <c:axId val="60573527"/>
        <c:scaling>
          <c:orientation val="minMax"/>
          <c:max val="5000"/>
        </c:scaling>
        <c:axPos val="l"/>
        <c:majorGridlines>
          <c:spPr>
            <a:ln w="3175">
              <a:solidFill/>
              <a:prstDash val="sysDot"/>
            </a:ln>
          </c:spPr>
        </c:majorGridlines>
        <c:delete val="0"/>
        <c:numFmt formatCode="#,##0" sourceLinked="0"/>
        <c:majorTickMark val="out"/>
        <c:minorTickMark val="none"/>
        <c:tickLblPos val="nextTo"/>
        <c:spPr>
          <a:ln w="3175">
            <a:solidFill/>
          </a:ln>
        </c:spPr>
        <c:txPr>
          <a:bodyPr/>
          <a:lstStyle/>
          <a:p>
            <a:pPr>
              <a:defRPr lang="en-US" cap="none" sz="800" b="1" i="0" u="none" baseline="0"/>
            </a:pPr>
          </a:p>
        </c:txPr>
        <c:crossAx val="44013094"/>
        <c:crossesAt val="1"/>
        <c:crossBetween val="between"/>
        <c:dispUnits/>
        <c:majorUnit val="1000"/>
        <c:minorUnit val="1000"/>
      </c:valAx>
      <c:spPr>
        <a:noFill/>
        <a:ln>
          <a:noFill/>
        </a:ln>
      </c:spPr>
    </c:plotArea>
    <c:legend>
      <c:legendPos val="r"/>
      <c:layout>
        <c:manualLayout>
          <c:xMode val="edge"/>
          <c:yMode val="edge"/>
          <c:x val="0.8745"/>
          <c:y val="0.1915"/>
        </c:manualLayout>
      </c:layout>
      <c:overlay val="0"/>
      <c:spPr>
        <a:blipFill>
          <a:blip r:embed="rId1"/>
          <a:srcRect/>
          <a:tile sx="100000" sy="100000" flip="none" algn="tl"/>
        </a:blipFill>
      </c:spPr>
      <c:txPr>
        <a:bodyPr vert="horz" rot="0"/>
        <a:lstStyle/>
        <a:p>
          <a:pPr>
            <a:defRPr lang="en-US" cap="none" sz="800" b="1" i="0" u="none" baseline="0"/>
          </a:pPr>
        </a:p>
      </c:txPr>
    </c:legend>
    <c:floor>
      <c:spPr>
        <a:solidFill>
          <a:srgbClr val="969696"/>
        </a:solidFill>
      </c:spPr>
      <c:thickness val="0"/>
    </c:floor>
    <c:sideWall>
      <c:spPr>
        <a:blipFill>
          <a:blip r:embed="rId2"/>
          <a:srcRect/>
          <a:tile sx="100000" sy="100000" flip="none" algn="tl"/>
        </a:blipFill>
        <a:ln w="3175">
          <a:solidFill/>
          <a:prstDash val="sysDot"/>
        </a:ln>
      </c:spPr>
      <c:thickness val="0"/>
    </c:sideWall>
    <c:backWall>
      <c:spPr>
        <a:blipFill>
          <a:blip r:embed="rId3"/>
          <a:srcRect/>
          <a:tile sx="100000" sy="100000" flip="none" algn="tl"/>
        </a:blipFill>
        <a:ln w="3175">
          <a:solidFill/>
          <a:prstDash val="sysDot"/>
        </a:ln>
      </c:spPr>
      <c:thickness val="0"/>
    </c:backWall>
    <c:plotVisOnly val="1"/>
    <c:dispBlanksAs val="gap"/>
    <c:showDLblsOverMax val="0"/>
  </c:chart>
  <c:spPr>
    <a:blipFill>
      <a:blip r:embed="rId4"/>
      <a:srcRect/>
      <a:tile sx="100000" sy="100000" flip="none" algn="tl"/>
    </a:blipFill>
    <a:ln w="381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Grafik 2 - MERKEZ TEŞKİLATI KADRO VE ÇALIŞAN PERSONEL DAĞILIMI </a:t>
            </a:r>
            <a:r>
              <a:rPr lang="en-US" cap="none" sz="225" b="1" i="0" u="none" baseline="0"/>
              <a:t>( 28.02.2006 )</a:t>
            </a:r>
          </a:p>
        </c:rich>
      </c:tx>
      <c:layout/>
      <c:spPr>
        <a:noFill/>
        <a:ln>
          <a:noFill/>
        </a:ln>
      </c:spPr>
    </c:title>
    <c:plotArea>
      <c:layout/>
      <c:barChart>
        <c:barDir val="col"/>
        <c:grouping val="clustered"/>
        <c:varyColors val="0"/>
        <c:ser>
          <c:idx val="0"/>
          <c:order val="0"/>
          <c:tx>
            <c:strRef>
              <c:f>3!$B$27</c:f>
              <c:strCache>
                <c:ptCount val="1"/>
                <c:pt idx="0">
                  <c:v>KADRO</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3!$B$28:$B$33</c:f>
              <c:numCache>
                <c:ptCount val="6"/>
                <c:pt idx="0">
                  <c:v>1515</c:v>
                </c:pt>
                <c:pt idx="1">
                  <c:v>1997</c:v>
                </c:pt>
                <c:pt idx="2">
                  <c:v>1518</c:v>
                </c:pt>
                <c:pt idx="3">
                  <c:v>119</c:v>
                </c:pt>
                <c:pt idx="4">
                  <c:v>51</c:v>
                </c:pt>
                <c:pt idx="5">
                  <c:v>5200</c:v>
                </c:pt>
              </c:numCache>
            </c:numRef>
          </c:val>
        </c:ser>
        <c:ser>
          <c:idx val="2"/>
          <c:order val="1"/>
          <c:tx>
            <c:strRef>
              <c:f>3!$D$27</c:f>
              <c:strCache>
                <c:ptCount val="1"/>
                <c:pt idx="0">
                  <c:v>ÇALIŞAN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3!$D$28:$D$33</c:f>
              <c:numCache>
                <c:ptCount val="6"/>
                <c:pt idx="0">
                  <c:v>876</c:v>
                </c:pt>
                <c:pt idx="1">
                  <c:v>1505</c:v>
                </c:pt>
                <c:pt idx="2">
                  <c:v>679</c:v>
                </c:pt>
                <c:pt idx="3">
                  <c:v>40</c:v>
                </c:pt>
                <c:pt idx="4">
                  <c:v>0</c:v>
                </c:pt>
                <c:pt idx="5">
                  <c:v>3100</c:v>
                </c:pt>
              </c:numCache>
            </c:numRef>
          </c:val>
        </c:ser>
        <c:axId val="8290832"/>
        <c:axId val="7508625"/>
      </c:barChart>
      <c:catAx>
        <c:axId val="8290832"/>
        <c:scaling>
          <c:orientation val="minMax"/>
        </c:scaling>
        <c:axPos val="b"/>
        <c:title>
          <c:tx>
            <c:rich>
              <a:bodyPr vert="horz" rot="0" anchor="ctr"/>
              <a:lstStyle/>
              <a:p>
                <a:pPr algn="ctr">
                  <a:defRPr/>
                </a:pPr>
                <a:r>
                  <a:rPr lang="en-US" cap="none" sz="250" b="1" i="0" u="none" baseline="0"/>
                  <a:t>KİŞİ</a:t>
                </a:r>
              </a:p>
            </c:rich>
          </c:tx>
          <c:layout/>
          <c:overlay val="0"/>
          <c:spPr>
            <a:noFill/>
            <a:ln>
              <a:noFill/>
            </a:ln>
          </c:spPr>
        </c:title>
        <c:delete val="0"/>
        <c:numFmt formatCode="General" sourceLinked="1"/>
        <c:majorTickMark val="out"/>
        <c:minorTickMark val="none"/>
        <c:tickLblPos val="nextTo"/>
        <c:txPr>
          <a:bodyPr/>
          <a:lstStyle/>
          <a:p>
            <a:pPr>
              <a:defRPr lang="en-US" cap="none" sz="275" b="1" i="0" u="none" baseline="0"/>
            </a:pPr>
          </a:p>
        </c:txPr>
        <c:crossAx val="7508625"/>
        <c:crosses val="autoZero"/>
        <c:auto val="1"/>
        <c:lblOffset val="100"/>
        <c:noMultiLvlLbl val="0"/>
      </c:catAx>
      <c:valAx>
        <c:axId val="750862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250" b="1" i="0" u="none" baseline="0"/>
            </a:pPr>
          </a:p>
        </c:txPr>
        <c:crossAx val="8290832"/>
        <c:crossesAt val="1"/>
        <c:crossBetween val="between"/>
        <c:dispUnits/>
      </c:valAx>
      <c:spPr>
        <a:solidFill>
          <a:srgbClr val="FFFFFF"/>
        </a:solidFill>
        <a:ln w="3175">
          <a:noFill/>
        </a:ln>
      </c:spPr>
    </c:plotArea>
    <c:legend>
      <c:legendPos val="r"/>
      <c:layout/>
      <c:overlay val="0"/>
      <c:txPr>
        <a:bodyPr vert="horz" rot="0"/>
        <a:lstStyle/>
        <a:p>
          <a:pPr>
            <a:defRPr lang="en-US" cap="none" sz="250" b="1" i="0" u="none" baseline="0"/>
          </a:pPr>
        </a:p>
      </c:txPr>
    </c:legend>
    <c:plotVisOnly val="1"/>
    <c:dispBlanksAs val="gap"/>
    <c:showDLblsOverMax val="0"/>
  </c:chart>
  <c:txPr>
    <a:bodyPr vert="horz" rot="0"/>
    <a:lstStyle/>
    <a:p>
      <a:pPr>
        <a:defRPr lang="en-US" cap="none" sz="350" b="0" i="0" u="none" baseline="0">
          <a:latin typeface="Arial Tur"/>
          <a:ea typeface="Arial Tur"/>
          <a:cs typeface="Arial Tu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1" i="0" u="none" baseline="0">
                <a:solidFill>
                  <a:srgbClr val="0000FF"/>
                </a:solidFill>
              </a:rPr>
              <a:t>Grafik 5 - İLAÇ VE TIBBİ MALZEME SANAYİİ MÜESSESESİ PERSONEL DURUMU ( 31.03.2006 )</a:t>
            </a:r>
          </a:p>
        </c:rich>
      </c:tx>
      <c:layout/>
      <c:spPr>
        <a:noFill/>
        <a:ln>
          <a:noFill/>
        </a:ln>
      </c:spPr>
    </c:title>
    <c:view3D>
      <c:rotX val="15"/>
      <c:rotY val="20"/>
      <c:depthPercent val="100"/>
      <c:rAngAx val="1"/>
    </c:view3D>
    <c:plotArea>
      <c:layout>
        <c:manualLayout>
          <c:xMode val="edge"/>
          <c:yMode val="edge"/>
          <c:x val="0.01775"/>
          <c:y val="0.137"/>
          <c:w val="0.82675"/>
          <c:h val="0.846"/>
        </c:manualLayout>
      </c:layout>
      <c:bar3DChart>
        <c:barDir val="col"/>
        <c:grouping val="clustered"/>
        <c:varyColors val="0"/>
        <c:ser>
          <c:idx val="0"/>
          <c:order val="0"/>
          <c:tx>
            <c:strRef>
              <c:f>5!$B$4</c:f>
              <c:strCache>
                <c:ptCount val="1"/>
                <c:pt idx="0">
                  <c:v>KADRO</c:v>
                </c:pt>
              </c:strCache>
            </c:strRef>
          </c:tx>
          <c:spPr>
            <a:gradFill rotWithShape="1">
              <a:gsLst>
                <a:gs pos="0">
                  <a:srgbClr val="752F00"/>
                </a:gs>
                <a:gs pos="100000">
                  <a:srgbClr val="FF66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752F00"/>
                  </a:gs>
                  <a:gs pos="100000">
                    <a:srgbClr val="FF6600"/>
                  </a:gs>
                </a:gsLst>
                <a:path path="rect">
                  <a:fillToRect l="50000" t="50000" r="50000" b="50000"/>
                </a:path>
              </a:gradFill>
            </c:spPr>
          </c:dPt>
          <c:dLbls>
            <c:dLbl>
              <c:idx val="0"/>
              <c:layout>
                <c:manualLayout>
                  <c:x val="0"/>
                  <c:y val="0"/>
                </c:manualLayout>
              </c:layout>
              <c:txPr>
                <a:bodyPr vert="horz" rot="0" anchor="ctr"/>
                <a:lstStyle/>
                <a:p>
                  <a:pPr algn="ctr">
                    <a:defRPr lang="en-US" cap="none" sz="1375"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37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375" b="1" i="0" u="none" baseline="0"/>
                </a:pPr>
              </a:p>
            </c:txPr>
            <c:showLegendKey val="0"/>
            <c:showVal val="1"/>
            <c:showBubbleSize val="0"/>
            <c:showCatName val="0"/>
            <c:showSerName val="0"/>
            <c:showPercent val="0"/>
          </c:dLbls>
          <c:cat>
            <c:strRef>
              <c:f>5!$A$6:$A$7</c:f>
              <c:strCache/>
            </c:strRef>
          </c:cat>
          <c:val>
            <c:numRef>
              <c:f>5!$B$6:$B$7</c:f>
              <c:numCache/>
            </c:numRef>
          </c:val>
          <c:shape val="box"/>
        </c:ser>
        <c:ser>
          <c:idx val="2"/>
          <c:order val="1"/>
          <c:tx>
            <c:strRef>
              <c:f>5!$D$4</c:f>
              <c:strCache>
                <c:ptCount val="1"/>
                <c:pt idx="0">
                  <c:v>ÇALIŞAN</c:v>
                </c:pt>
              </c:strCache>
            </c:strRef>
          </c:tx>
          <c:spPr>
            <a:pattFill prst="wdDnDiag">
              <a:fgClr>
                <a:srgbClr val="99CC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75"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7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pPr>
              </a:p>
            </c:txPr>
            <c:showLegendKey val="0"/>
            <c:showVal val="1"/>
            <c:showBubbleSize val="0"/>
            <c:showCatName val="0"/>
            <c:showSerName val="0"/>
            <c:showPercent val="0"/>
          </c:dLbls>
          <c:cat>
            <c:strRef>
              <c:f>5!$A$6:$A$7</c:f>
              <c:strCache/>
            </c:strRef>
          </c:cat>
          <c:val>
            <c:numRef>
              <c:f>5!$D$6:$D$7</c:f>
              <c:numCache/>
            </c:numRef>
          </c:val>
          <c:shape val="box"/>
        </c:ser>
        <c:shape val="box"/>
        <c:axId val="468762"/>
        <c:axId val="4218859"/>
      </c:bar3DChart>
      <c:catAx>
        <c:axId val="468762"/>
        <c:scaling>
          <c:orientation val="minMax"/>
        </c:scaling>
        <c:axPos val="b"/>
        <c:delete val="0"/>
        <c:numFmt formatCode="General" sourceLinked="1"/>
        <c:majorTickMark val="out"/>
        <c:minorTickMark val="none"/>
        <c:tickLblPos val="low"/>
        <c:txPr>
          <a:bodyPr/>
          <a:lstStyle/>
          <a:p>
            <a:pPr>
              <a:defRPr lang="en-US" cap="none" sz="900" b="1" i="0" u="none" baseline="0"/>
            </a:pPr>
          </a:p>
        </c:txPr>
        <c:crossAx val="4218859"/>
        <c:crosses val="autoZero"/>
        <c:auto val="1"/>
        <c:lblOffset val="100"/>
        <c:noMultiLvlLbl val="0"/>
      </c:catAx>
      <c:valAx>
        <c:axId val="4218859"/>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1" i="0" u="none" baseline="0"/>
            </a:pPr>
          </a:p>
        </c:txPr>
        <c:crossAx val="468762"/>
        <c:crossesAt val="1"/>
        <c:crossBetween val="between"/>
        <c:dispUnits/>
      </c:valAx>
      <c:spPr>
        <a:noFill/>
        <a:ln>
          <a:noFill/>
        </a:ln>
      </c:spPr>
    </c:plotArea>
    <c:legend>
      <c:legendPos val="r"/>
      <c:layout>
        <c:manualLayout>
          <c:xMode val="edge"/>
          <c:yMode val="edge"/>
          <c:x val="0.86225"/>
          <c:y val="0.27075"/>
        </c:manualLayout>
      </c:layout>
      <c:overlay val="0"/>
      <c:spPr>
        <a:blipFill>
          <a:blip r:embed="rId1"/>
          <a:srcRect/>
          <a:tile sx="100000" sy="100000" flip="none" algn="tl"/>
        </a:blipFill>
      </c:spPr>
      <c:txPr>
        <a:bodyPr vert="horz" rot="0"/>
        <a:lstStyle/>
        <a:p>
          <a:pPr>
            <a:defRPr lang="en-US" cap="none" sz="900" b="1" i="0" u="none" baseline="0"/>
          </a:pPr>
        </a:p>
      </c:txPr>
    </c:legend>
    <c:floor>
      <c:thickness val="0"/>
    </c:floor>
    <c:sideWall>
      <c:spPr>
        <a:blipFill>
          <a:blip r:embed="rId2"/>
          <a:srcRect/>
          <a:tile sx="100000" sy="100000" flip="none" algn="tl"/>
        </a:blipFill>
        <a:ln w="3175">
          <a:noFill/>
        </a:ln>
      </c:spPr>
      <c:thickness val="0"/>
    </c:sideWall>
    <c:backWall>
      <c:spPr>
        <a:blipFill>
          <a:blip r:embed="rId3"/>
          <a:srcRect/>
          <a:tile sx="100000" sy="100000" flip="none" algn="tl"/>
        </a:blipFill>
        <a:ln w="3175">
          <a:noFill/>
        </a:ln>
      </c:spPr>
      <c:thickness val="0"/>
    </c:backWall>
    <c:plotVisOnly val="1"/>
    <c:dispBlanksAs val="gap"/>
    <c:showDLblsOverMax val="0"/>
  </c:chart>
  <c:spPr>
    <a:blipFill>
      <a:blip r:embed="rId4"/>
      <a:srcRect/>
      <a:tile sx="100000" sy="100000" flip="none" algn="tl"/>
    </a:blipFill>
    <a:ln w="38100">
      <a:solidFill/>
    </a:ln>
    <a:effectLst>
      <a:outerShdw dist="35921" dir="2700000" algn="br">
        <a:prstClr val="black"/>
      </a:outerShdw>
    </a:effectLst>
  </c:spPr>
  <c:txPr>
    <a:bodyPr vert="horz" rot="0"/>
    <a:lstStyle/>
    <a:p>
      <a:pPr>
        <a:defRPr lang="en-US" cap="none" sz="1175" b="0" i="0" u="none" baseline="0">
          <a:latin typeface="Arial Tur"/>
          <a:ea typeface="Arial Tur"/>
          <a:cs typeface="Arial Tu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700" b="1" i="0" u="none" baseline="0">
                <a:solidFill>
                  <a:srgbClr val="0000FF"/>
                </a:solidFill>
              </a:rPr>
              <a:t>Grafik 6 - YILLIK ORT. DOLAR KURU ÜZERİNDEN KURUM AÇIKLARININ YILLAR İTİBARİYLE DEĞİŞİMİ </a:t>
            </a:r>
            <a:r>
              <a:rPr lang="en-US" cap="none" sz="700" b="0" i="1" u="none" baseline="0">
                <a:solidFill>
                  <a:srgbClr val="0000FF"/>
                </a:solidFill>
              </a:rPr>
              <a:t>( Deficit Based On Annual Average Exchange of Dollars )</a:t>
            </a:r>
          </a:p>
        </c:rich>
      </c:tx>
      <c:layout>
        <c:manualLayout>
          <c:xMode val="factor"/>
          <c:yMode val="factor"/>
          <c:x val="0.0165"/>
          <c:y val="-0.01025"/>
        </c:manualLayout>
      </c:layout>
      <c:spPr>
        <a:noFill/>
        <a:ln>
          <a:noFill/>
        </a:ln>
      </c:spPr>
    </c:title>
    <c:plotArea>
      <c:layout>
        <c:manualLayout>
          <c:xMode val="edge"/>
          <c:yMode val="edge"/>
          <c:x val="0"/>
          <c:y val="0.18325"/>
          <c:w val="1"/>
          <c:h val="0.67725"/>
        </c:manualLayout>
      </c:layout>
      <c:lineChart>
        <c:grouping val="standard"/>
        <c:varyColors val="0"/>
        <c:ser>
          <c:idx val="0"/>
          <c:order val="0"/>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FF"/>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pPr>
              </a:p>
            </c:txPr>
            <c:showLegendKey val="0"/>
            <c:showVal val="1"/>
            <c:showBubbleSize val="0"/>
            <c:showCatName val="0"/>
            <c:showSerName val="0"/>
            <c:showLeaderLines val="1"/>
            <c:showPercent val="0"/>
          </c:dLbls>
          <c:cat>
            <c:strRef>
              <c:f>7!$L$6:$L$23</c:f>
              <c:strCache/>
            </c:strRef>
          </c:cat>
          <c:val>
            <c:numRef>
              <c:f>7!$M$6:$M$23</c:f>
              <c:numCache/>
            </c:numRef>
          </c:val>
          <c:smooth val="1"/>
        </c:ser>
        <c:marker val="1"/>
        <c:axId val="37969732"/>
        <c:axId val="6183269"/>
      </c:lineChart>
      <c:catAx>
        <c:axId val="37969732"/>
        <c:scaling>
          <c:orientation val="minMax"/>
        </c:scaling>
        <c:axPos val="b"/>
        <c:title>
          <c:tx>
            <c:rich>
              <a:bodyPr vert="horz" rot="0" anchor="ctr"/>
              <a:lstStyle/>
              <a:p>
                <a:pPr algn="ctr">
                  <a:defRPr/>
                </a:pPr>
                <a:r>
                  <a:rPr lang="en-US" cap="none" sz="700" b="1" i="0" u="none" baseline="0"/>
                  <a:t>Milyon  Dolar</a:t>
                </a:r>
              </a:p>
            </c:rich>
          </c:tx>
          <c:layout>
            <c:manualLayout>
              <c:xMode val="factor"/>
              <c:yMode val="factor"/>
              <c:x val="0.285"/>
              <c:y val="-0.11525"/>
            </c:manualLayout>
          </c:layout>
          <c:overlay val="0"/>
          <c:spPr>
            <a:noFill/>
            <a:ln>
              <a:noFill/>
            </a:ln>
          </c:spPr>
        </c:title>
        <c:delete val="0"/>
        <c:numFmt formatCode="General" sourceLinked="1"/>
        <c:majorTickMark val="out"/>
        <c:minorTickMark val="none"/>
        <c:tickLblPos val="nextTo"/>
        <c:spPr>
          <a:ln w="25400">
            <a:solidFill/>
          </a:ln>
        </c:spPr>
        <c:txPr>
          <a:bodyPr vert="horz" rot="0"/>
          <a:lstStyle/>
          <a:p>
            <a:pPr>
              <a:defRPr lang="en-US" cap="none" sz="600" b="1" i="0" u="none" baseline="0"/>
            </a:pPr>
          </a:p>
        </c:txPr>
        <c:crossAx val="6183269"/>
        <c:crosses val="autoZero"/>
        <c:auto val="1"/>
        <c:lblOffset val="100"/>
        <c:noMultiLvlLbl val="0"/>
      </c:catAx>
      <c:valAx>
        <c:axId val="6183269"/>
        <c:scaling>
          <c:orientation val="minMax"/>
        </c:scaling>
        <c:axPos val="l"/>
        <c:majorGridlines>
          <c:spPr>
            <a:ln w="3175">
              <a:solidFill/>
              <a:prstDash val="sysDot"/>
            </a:ln>
          </c:spPr>
        </c:majorGridlines>
        <c:delete val="0"/>
        <c:numFmt formatCode="General" sourceLinked="1"/>
        <c:majorTickMark val="out"/>
        <c:minorTickMark val="none"/>
        <c:tickLblPos val="nextTo"/>
        <c:spPr>
          <a:ln w="25400">
            <a:solidFill/>
          </a:ln>
        </c:spPr>
        <c:txPr>
          <a:bodyPr/>
          <a:lstStyle/>
          <a:p>
            <a:pPr>
              <a:defRPr lang="en-US" cap="none" sz="600" b="1" i="0" u="none" baseline="0"/>
            </a:pPr>
          </a:p>
        </c:txPr>
        <c:crossAx val="37969732"/>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100" b="0" i="0" u="none" baseline="0">
          <a:latin typeface="Arial Tur"/>
          <a:ea typeface="Arial Tur"/>
          <a:cs typeface="Arial Tu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5.xml.rels><?xml version="1.0" encoding="utf-8" standalone="yes"?><Relationships xmlns="http://schemas.openxmlformats.org/package/2006/relationships"><Relationship Id="rId1" Type="http://schemas.openxmlformats.org/officeDocument/2006/relationships/image" Target="../media/image47.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media/image43.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22</xdr:row>
      <xdr:rowOff>19050</xdr:rowOff>
    </xdr:from>
    <xdr:to>
      <xdr:col>8</xdr:col>
      <xdr:colOff>400050</xdr:colOff>
      <xdr:row>39</xdr:row>
      <xdr:rowOff>19050</xdr:rowOff>
    </xdr:to>
    <xdr:graphicFrame>
      <xdr:nvGraphicFramePr>
        <xdr:cNvPr id="1" name="Chart 2"/>
        <xdr:cNvGraphicFramePr/>
      </xdr:nvGraphicFramePr>
      <xdr:xfrm>
        <a:off x="152400" y="4743450"/>
        <a:ext cx="5734050" cy="28098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123825</xdr:rowOff>
    </xdr:from>
    <xdr:to>
      <xdr:col>4</xdr:col>
      <xdr:colOff>1181100</xdr:colOff>
      <xdr:row>49</xdr:row>
      <xdr:rowOff>66675</xdr:rowOff>
    </xdr:to>
    <xdr:graphicFrame>
      <xdr:nvGraphicFramePr>
        <xdr:cNvPr id="1" name="Chart 5"/>
        <xdr:cNvGraphicFramePr/>
      </xdr:nvGraphicFramePr>
      <xdr:xfrm>
        <a:off x="0" y="5991225"/>
        <a:ext cx="6096000" cy="25431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85725</xdr:rowOff>
    </xdr:from>
    <xdr:to>
      <xdr:col>6</xdr:col>
      <xdr:colOff>9525</xdr:colOff>
      <xdr:row>50</xdr:row>
      <xdr:rowOff>0</xdr:rowOff>
    </xdr:to>
    <xdr:graphicFrame>
      <xdr:nvGraphicFramePr>
        <xdr:cNvPr id="1" name="Chart 1"/>
        <xdr:cNvGraphicFramePr/>
      </xdr:nvGraphicFramePr>
      <xdr:xfrm>
        <a:off x="0" y="5924550"/>
        <a:ext cx="6410325" cy="2676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16</xdr:row>
      <xdr:rowOff>9525</xdr:rowOff>
    </xdr:from>
    <xdr:to>
      <xdr:col>10</xdr:col>
      <xdr:colOff>638175</xdr:colOff>
      <xdr:row>28</xdr:row>
      <xdr:rowOff>0</xdr:rowOff>
    </xdr:to>
    <xdr:graphicFrame>
      <xdr:nvGraphicFramePr>
        <xdr:cNvPr id="1" name="Chart 4"/>
        <xdr:cNvGraphicFramePr/>
      </xdr:nvGraphicFramePr>
      <xdr:xfrm>
        <a:off x="3019425" y="4200525"/>
        <a:ext cx="8877300" cy="2057400"/>
      </xdr:xfrm>
      <a:graphic>
        <a:graphicData uri="http://schemas.openxmlformats.org/drawingml/2006/chart">
          <c:chart xmlns:c="http://schemas.openxmlformats.org/drawingml/2006/chart" r:id="rId1"/>
        </a:graphicData>
      </a:graphic>
    </xdr:graphicFrame>
    <xdr:clientData/>
  </xdr:twoCellAnchor>
  <xdr:twoCellAnchor>
    <xdr:from>
      <xdr:col>2</xdr:col>
      <xdr:colOff>85725</xdr:colOff>
      <xdr:row>14</xdr:row>
      <xdr:rowOff>0</xdr:rowOff>
    </xdr:from>
    <xdr:to>
      <xdr:col>10</xdr:col>
      <xdr:colOff>638175</xdr:colOff>
      <xdr:row>30</xdr:row>
      <xdr:rowOff>9525</xdr:rowOff>
    </xdr:to>
    <xdr:graphicFrame>
      <xdr:nvGraphicFramePr>
        <xdr:cNvPr id="2" name="Chart 5"/>
        <xdr:cNvGraphicFramePr/>
      </xdr:nvGraphicFramePr>
      <xdr:xfrm>
        <a:off x="2266950" y="3848100"/>
        <a:ext cx="9629775" cy="28956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200025</xdr:rowOff>
    </xdr:from>
    <xdr:to>
      <xdr:col>10</xdr:col>
      <xdr:colOff>666750</xdr:colOff>
      <xdr:row>26</xdr:row>
      <xdr:rowOff>38100</xdr:rowOff>
    </xdr:to>
    <xdr:graphicFrame>
      <xdr:nvGraphicFramePr>
        <xdr:cNvPr id="1" name="Chart 3"/>
        <xdr:cNvGraphicFramePr/>
      </xdr:nvGraphicFramePr>
      <xdr:xfrm>
        <a:off x="0" y="2771775"/>
        <a:ext cx="8429625" cy="2647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0</xdr:rowOff>
    </xdr:from>
    <xdr:to>
      <xdr:col>10</xdr:col>
      <xdr:colOff>657225</xdr:colOff>
      <xdr:row>52</xdr:row>
      <xdr:rowOff>228600</xdr:rowOff>
    </xdr:to>
    <xdr:graphicFrame>
      <xdr:nvGraphicFramePr>
        <xdr:cNvPr id="2" name="Chart 6"/>
        <xdr:cNvGraphicFramePr/>
      </xdr:nvGraphicFramePr>
      <xdr:xfrm>
        <a:off x="19050" y="8124825"/>
        <a:ext cx="8401050" cy="25336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9525</xdr:rowOff>
    </xdr:from>
    <xdr:to>
      <xdr:col>4</xdr:col>
      <xdr:colOff>895350</xdr:colOff>
      <xdr:row>91</xdr:row>
      <xdr:rowOff>9525</xdr:rowOff>
    </xdr:to>
    <xdr:graphicFrame>
      <xdr:nvGraphicFramePr>
        <xdr:cNvPr id="1" name="Chart 3"/>
        <xdr:cNvGraphicFramePr/>
      </xdr:nvGraphicFramePr>
      <xdr:xfrm>
        <a:off x="0" y="5657850"/>
        <a:ext cx="6038850" cy="33432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0.12725</cdr:y>
    </cdr:from>
    <cdr:to>
      <cdr:x>0.06925</cdr:x>
      <cdr:y>0.263</cdr:y>
    </cdr:to>
    <cdr:sp>
      <cdr:nvSpPr>
        <cdr:cNvPr id="1" name="Rectangle 1"/>
        <cdr:cNvSpPr>
          <a:spLocks/>
        </cdr:cNvSpPr>
      </cdr:nvSpPr>
      <cdr:spPr>
        <a:xfrm>
          <a:off x="123825" y="495300"/>
          <a:ext cx="333375" cy="533400"/>
        </a:xfrm>
        <a:prstGeom prst="rect">
          <a:avLst/>
        </a:prstGeom>
        <a:blipFill>
          <a:blip r:embed="rId1"/>
          <a:srcRect/>
          <a:stretch>
            <a:fillRect/>
          </a:stretch>
        </a:blipFill>
        <a:ln w="9525" cmpd="sng">
          <a:noFill/>
        </a:ln>
      </cdr:spPr>
      <cdr:txBody>
        <a:bodyPr vertOverflow="clip" wrap="square"/>
        <a:p>
          <a:pPr algn="ctr">
            <a:defRPr/>
          </a:pPr>
          <a:r>
            <a:rPr lang="en-US" cap="none" sz="1200" b="0" i="0" u="none" baseline="0"/>
            <a:t>
</a:t>
          </a:r>
          <a:r>
            <a:rPr lang="en-US" cap="none" sz="900" b="1" i="0" u="none" baseline="0"/>
            <a:t>Milyar TL</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xdr:rowOff>
    </xdr:from>
    <xdr:to>
      <xdr:col>6</xdr:col>
      <xdr:colOff>771525</xdr:colOff>
      <xdr:row>44</xdr:row>
      <xdr:rowOff>85725</xdr:rowOff>
    </xdr:to>
    <xdr:graphicFrame>
      <xdr:nvGraphicFramePr>
        <xdr:cNvPr id="1" name="Chart 3"/>
        <xdr:cNvGraphicFramePr/>
      </xdr:nvGraphicFramePr>
      <xdr:xfrm>
        <a:off x="9525" y="5114925"/>
        <a:ext cx="6705600" cy="3962400"/>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20</xdr:row>
      <xdr:rowOff>114300</xdr:rowOff>
    </xdr:from>
    <xdr:to>
      <xdr:col>5</xdr:col>
      <xdr:colOff>504825</xdr:colOff>
      <xdr:row>24</xdr:row>
      <xdr:rowOff>66675</xdr:rowOff>
    </xdr:to>
    <xdr:sp>
      <xdr:nvSpPr>
        <xdr:cNvPr id="2" name="Rectangle 4"/>
        <xdr:cNvSpPr>
          <a:spLocks/>
        </xdr:cNvSpPr>
      </xdr:nvSpPr>
      <xdr:spPr>
        <a:xfrm>
          <a:off x="1619250" y="5219700"/>
          <a:ext cx="3943350" cy="600075"/>
        </a:xfrm>
        <a:prstGeom prst="rect">
          <a:avLst/>
        </a:prstGeom>
        <a:blipFill>
          <a:blip r:embed="rId2"/>
          <a:srcRect/>
          <a:stretch>
            <a:fillRect/>
          </a:stretch>
        </a:blipFill>
        <a:ln w="9525" cmpd="sng">
          <a:noFill/>
        </a:ln>
      </xdr:spPr>
      <xdr:txBody>
        <a:bodyPr vertOverflow="clip" wrap="square"/>
        <a:p>
          <a:pPr algn="ctr">
            <a:defRPr/>
          </a:pPr>
          <a:r>
            <a:rPr lang="en-US" cap="none" sz="1200" b="0" i="0" u="none" baseline="0"/>
            <a:t>
</a:t>
          </a:r>
          <a:r>
            <a:rPr lang="en-US" cap="none" sz="1800" b="1" i="0" u="none" baseline="-25000">
              <a:solidFill>
                <a:srgbClr val="0000FF"/>
              </a:solidFill>
            </a:rPr>
            <a:t>Grafik 16 - SSK'nın Sağlık ve İlaç Giderleri</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5</xdr:col>
      <xdr:colOff>781050</xdr:colOff>
      <xdr:row>48</xdr:row>
      <xdr:rowOff>19050</xdr:rowOff>
    </xdr:to>
    <xdr:graphicFrame>
      <xdr:nvGraphicFramePr>
        <xdr:cNvPr id="1" name="Chart 3"/>
        <xdr:cNvGraphicFramePr/>
      </xdr:nvGraphicFramePr>
      <xdr:xfrm>
        <a:off x="28575" y="3267075"/>
        <a:ext cx="6038850" cy="5343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6</xdr:row>
      <xdr:rowOff>161925</xdr:rowOff>
    </xdr:from>
    <xdr:to>
      <xdr:col>7</xdr:col>
      <xdr:colOff>533400</xdr:colOff>
      <xdr:row>11</xdr:row>
      <xdr:rowOff>0</xdr:rowOff>
    </xdr:to>
    <xdr:sp>
      <xdr:nvSpPr>
        <xdr:cNvPr id="1" name="Line 1"/>
        <xdr:cNvSpPr>
          <a:spLocks/>
        </xdr:cNvSpPr>
      </xdr:nvSpPr>
      <xdr:spPr>
        <a:xfrm>
          <a:off x="6457950" y="12954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1095375</xdr:colOff>
      <xdr:row>8</xdr:row>
      <xdr:rowOff>76200</xdr:rowOff>
    </xdr:from>
    <xdr:to>
      <xdr:col>7</xdr:col>
      <xdr:colOff>581025</xdr:colOff>
      <xdr:row>8</xdr:row>
      <xdr:rowOff>76200</xdr:rowOff>
    </xdr:to>
    <xdr:sp>
      <xdr:nvSpPr>
        <xdr:cNvPr id="2" name="Line 2"/>
        <xdr:cNvSpPr>
          <a:spLocks/>
        </xdr:cNvSpPr>
      </xdr:nvSpPr>
      <xdr:spPr>
        <a:xfrm flipH="1">
          <a:off x="3600450" y="15621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8</xdr:row>
      <xdr:rowOff>76200</xdr:rowOff>
    </xdr:from>
    <xdr:to>
      <xdr:col>11</xdr:col>
      <xdr:colOff>0</xdr:colOff>
      <xdr:row>8</xdr:row>
      <xdr:rowOff>76200</xdr:rowOff>
    </xdr:to>
    <xdr:sp>
      <xdr:nvSpPr>
        <xdr:cNvPr id="3" name="Line 3"/>
        <xdr:cNvSpPr>
          <a:spLocks/>
        </xdr:cNvSpPr>
      </xdr:nvSpPr>
      <xdr:spPr>
        <a:xfrm>
          <a:off x="6496050" y="15621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10</xdr:row>
      <xdr:rowOff>161925</xdr:rowOff>
    </xdr:from>
    <xdr:to>
      <xdr:col>7</xdr:col>
      <xdr:colOff>590550</xdr:colOff>
      <xdr:row>10</xdr:row>
      <xdr:rowOff>161925</xdr:rowOff>
    </xdr:to>
    <xdr:sp>
      <xdr:nvSpPr>
        <xdr:cNvPr id="4" name="Line 4"/>
        <xdr:cNvSpPr>
          <a:spLocks/>
        </xdr:cNvSpPr>
      </xdr:nvSpPr>
      <xdr:spPr>
        <a:xfrm flipH="1">
          <a:off x="3067050" y="1981200"/>
          <a:ext cx="344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590550</xdr:colOff>
      <xdr:row>10</xdr:row>
      <xdr:rowOff>161925</xdr:rowOff>
    </xdr:from>
    <xdr:to>
      <xdr:col>13</xdr:col>
      <xdr:colOff>676275</xdr:colOff>
      <xdr:row>10</xdr:row>
      <xdr:rowOff>161925</xdr:rowOff>
    </xdr:to>
    <xdr:sp>
      <xdr:nvSpPr>
        <xdr:cNvPr id="5" name="Line 5"/>
        <xdr:cNvSpPr>
          <a:spLocks/>
        </xdr:cNvSpPr>
      </xdr:nvSpPr>
      <xdr:spPr>
        <a:xfrm>
          <a:off x="6515100" y="1981200"/>
          <a:ext cx="410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581025</xdr:colOff>
      <xdr:row>11</xdr:row>
      <xdr:rowOff>0</xdr:rowOff>
    </xdr:from>
    <xdr:to>
      <xdr:col>3</xdr:col>
      <xdr:colOff>581025</xdr:colOff>
      <xdr:row>11</xdr:row>
      <xdr:rowOff>152400</xdr:rowOff>
    </xdr:to>
    <xdr:sp>
      <xdr:nvSpPr>
        <xdr:cNvPr id="6" name="Line 6"/>
        <xdr:cNvSpPr>
          <a:spLocks/>
        </xdr:cNvSpPr>
      </xdr:nvSpPr>
      <xdr:spPr>
        <a:xfrm>
          <a:off x="3086100" y="19907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657225</xdr:colOff>
      <xdr:row>10</xdr:row>
      <xdr:rowOff>142875</xdr:rowOff>
    </xdr:from>
    <xdr:to>
      <xdr:col>13</xdr:col>
      <xdr:colOff>657225</xdr:colOff>
      <xdr:row>11</xdr:row>
      <xdr:rowOff>161925</xdr:rowOff>
    </xdr:to>
    <xdr:sp>
      <xdr:nvSpPr>
        <xdr:cNvPr id="7" name="Line 7"/>
        <xdr:cNvSpPr>
          <a:spLocks/>
        </xdr:cNvSpPr>
      </xdr:nvSpPr>
      <xdr:spPr>
        <a:xfrm>
          <a:off x="10601325" y="19621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14</xdr:row>
      <xdr:rowOff>9525</xdr:rowOff>
    </xdr:from>
    <xdr:to>
      <xdr:col>3</xdr:col>
      <xdr:colOff>523875</xdr:colOff>
      <xdr:row>15</xdr:row>
      <xdr:rowOff>9525</xdr:rowOff>
    </xdr:to>
    <xdr:sp>
      <xdr:nvSpPr>
        <xdr:cNvPr id="8" name="Line 8"/>
        <xdr:cNvSpPr>
          <a:spLocks/>
        </xdr:cNvSpPr>
      </xdr:nvSpPr>
      <xdr:spPr>
        <a:xfrm>
          <a:off x="3028950" y="25050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14</xdr:row>
      <xdr:rowOff>0</xdr:rowOff>
    </xdr:from>
    <xdr:to>
      <xdr:col>13</xdr:col>
      <xdr:colOff>561975</xdr:colOff>
      <xdr:row>14</xdr:row>
      <xdr:rowOff>161925</xdr:rowOff>
    </xdr:to>
    <xdr:sp>
      <xdr:nvSpPr>
        <xdr:cNvPr id="9" name="Line 9"/>
        <xdr:cNvSpPr>
          <a:spLocks/>
        </xdr:cNvSpPr>
      </xdr:nvSpPr>
      <xdr:spPr>
        <a:xfrm>
          <a:off x="10506075" y="24955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15</xdr:row>
      <xdr:rowOff>161925</xdr:rowOff>
    </xdr:from>
    <xdr:to>
      <xdr:col>3</xdr:col>
      <xdr:colOff>523875</xdr:colOff>
      <xdr:row>20</xdr:row>
      <xdr:rowOff>9525</xdr:rowOff>
    </xdr:to>
    <xdr:sp>
      <xdr:nvSpPr>
        <xdr:cNvPr id="10" name="Line 10"/>
        <xdr:cNvSpPr>
          <a:spLocks/>
        </xdr:cNvSpPr>
      </xdr:nvSpPr>
      <xdr:spPr>
        <a:xfrm>
          <a:off x="3028950" y="28289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295275</xdr:colOff>
      <xdr:row>19</xdr:row>
      <xdr:rowOff>9525</xdr:rowOff>
    </xdr:from>
    <xdr:to>
      <xdr:col>3</xdr:col>
      <xdr:colOff>561975</xdr:colOff>
      <xdr:row>19</xdr:row>
      <xdr:rowOff>9525</xdr:rowOff>
    </xdr:to>
    <xdr:sp>
      <xdr:nvSpPr>
        <xdr:cNvPr id="11" name="Line 11"/>
        <xdr:cNvSpPr>
          <a:spLocks/>
        </xdr:cNvSpPr>
      </xdr:nvSpPr>
      <xdr:spPr>
        <a:xfrm flipH="1">
          <a:off x="295275" y="3352800"/>
          <a:ext cx="2771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19</xdr:row>
      <xdr:rowOff>9525</xdr:rowOff>
    </xdr:from>
    <xdr:to>
      <xdr:col>0</xdr:col>
      <xdr:colOff>276225</xdr:colOff>
      <xdr:row>19</xdr:row>
      <xdr:rowOff>161925</xdr:rowOff>
    </xdr:to>
    <xdr:sp>
      <xdr:nvSpPr>
        <xdr:cNvPr id="12" name="Line 12"/>
        <xdr:cNvSpPr>
          <a:spLocks/>
        </xdr:cNvSpPr>
      </xdr:nvSpPr>
      <xdr:spPr>
        <a:xfrm>
          <a:off x="276225" y="33528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19</xdr:row>
      <xdr:rowOff>28575</xdr:rowOff>
    </xdr:from>
    <xdr:to>
      <xdr:col>6</xdr:col>
      <xdr:colOff>333375</xdr:colOff>
      <xdr:row>19</xdr:row>
      <xdr:rowOff>152400</xdr:rowOff>
    </xdr:to>
    <xdr:sp>
      <xdr:nvSpPr>
        <xdr:cNvPr id="13" name="Line 13"/>
        <xdr:cNvSpPr>
          <a:spLocks/>
        </xdr:cNvSpPr>
      </xdr:nvSpPr>
      <xdr:spPr>
        <a:xfrm>
          <a:off x="5476875" y="33718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21</xdr:row>
      <xdr:rowOff>161925</xdr:rowOff>
    </xdr:from>
    <xdr:to>
      <xdr:col>0</xdr:col>
      <xdr:colOff>285750</xdr:colOff>
      <xdr:row>41</xdr:row>
      <xdr:rowOff>76200</xdr:rowOff>
    </xdr:to>
    <xdr:sp>
      <xdr:nvSpPr>
        <xdr:cNvPr id="14" name="Line 14"/>
        <xdr:cNvSpPr>
          <a:spLocks/>
        </xdr:cNvSpPr>
      </xdr:nvSpPr>
      <xdr:spPr>
        <a:xfrm>
          <a:off x="276225" y="3838575"/>
          <a:ext cx="9525" cy="3362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247650</xdr:colOff>
      <xdr:row>23</xdr:row>
      <xdr:rowOff>76200</xdr:rowOff>
    </xdr:from>
    <xdr:to>
      <xdr:col>0</xdr:col>
      <xdr:colOff>885825</xdr:colOff>
      <xdr:row>23</xdr:row>
      <xdr:rowOff>76200</xdr:rowOff>
    </xdr:to>
    <xdr:sp>
      <xdr:nvSpPr>
        <xdr:cNvPr id="15" name="Line 15"/>
        <xdr:cNvSpPr>
          <a:spLocks/>
        </xdr:cNvSpPr>
      </xdr:nvSpPr>
      <xdr:spPr>
        <a:xfrm>
          <a:off x="247650" y="40957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26</xdr:row>
      <xdr:rowOff>76200</xdr:rowOff>
    </xdr:from>
    <xdr:to>
      <xdr:col>1</xdr:col>
      <xdr:colOff>0</xdr:colOff>
      <xdr:row>26</xdr:row>
      <xdr:rowOff>76200</xdr:rowOff>
    </xdr:to>
    <xdr:sp>
      <xdr:nvSpPr>
        <xdr:cNvPr id="16" name="Line 16"/>
        <xdr:cNvSpPr>
          <a:spLocks/>
        </xdr:cNvSpPr>
      </xdr:nvSpPr>
      <xdr:spPr>
        <a:xfrm>
          <a:off x="276225" y="46101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28</xdr:row>
      <xdr:rowOff>123825</xdr:rowOff>
    </xdr:from>
    <xdr:to>
      <xdr:col>1</xdr:col>
      <xdr:colOff>0</xdr:colOff>
      <xdr:row>28</xdr:row>
      <xdr:rowOff>123825</xdr:rowOff>
    </xdr:to>
    <xdr:sp>
      <xdr:nvSpPr>
        <xdr:cNvPr id="17" name="Line 17"/>
        <xdr:cNvSpPr>
          <a:spLocks/>
        </xdr:cNvSpPr>
      </xdr:nvSpPr>
      <xdr:spPr>
        <a:xfrm>
          <a:off x="285750" y="5000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22</xdr:row>
      <xdr:rowOff>0</xdr:rowOff>
    </xdr:from>
    <xdr:to>
      <xdr:col>3</xdr:col>
      <xdr:colOff>523875</xdr:colOff>
      <xdr:row>41</xdr:row>
      <xdr:rowOff>0</xdr:rowOff>
    </xdr:to>
    <xdr:sp>
      <xdr:nvSpPr>
        <xdr:cNvPr id="18" name="Line 18"/>
        <xdr:cNvSpPr>
          <a:spLocks/>
        </xdr:cNvSpPr>
      </xdr:nvSpPr>
      <xdr:spPr>
        <a:xfrm>
          <a:off x="3028950" y="3848100"/>
          <a:ext cx="0" cy="3276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23</xdr:row>
      <xdr:rowOff>76200</xdr:rowOff>
    </xdr:from>
    <xdr:to>
      <xdr:col>4</xdr:col>
      <xdr:colOff>0</xdr:colOff>
      <xdr:row>23</xdr:row>
      <xdr:rowOff>76200</xdr:rowOff>
    </xdr:to>
    <xdr:sp>
      <xdr:nvSpPr>
        <xdr:cNvPr id="19" name="Line 19"/>
        <xdr:cNvSpPr>
          <a:spLocks/>
        </xdr:cNvSpPr>
      </xdr:nvSpPr>
      <xdr:spPr>
        <a:xfrm flipV="1">
          <a:off x="3028950" y="40957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27</xdr:row>
      <xdr:rowOff>0</xdr:rowOff>
    </xdr:from>
    <xdr:to>
      <xdr:col>4</xdr:col>
      <xdr:colOff>0</xdr:colOff>
      <xdr:row>27</xdr:row>
      <xdr:rowOff>0</xdr:rowOff>
    </xdr:to>
    <xdr:sp>
      <xdr:nvSpPr>
        <xdr:cNvPr id="20" name="Line 20"/>
        <xdr:cNvSpPr>
          <a:spLocks/>
        </xdr:cNvSpPr>
      </xdr:nvSpPr>
      <xdr:spPr>
        <a:xfrm flipV="1">
          <a:off x="3028950" y="47053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390525</xdr:colOff>
      <xdr:row>21</xdr:row>
      <xdr:rowOff>161925</xdr:rowOff>
    </xdr:from>
    <xdr:to>
      <xdr:col>6</xdr:col>
      <xdr:colOff>400050</xdr:colOff>
      <xdr:row>41</xdr:row>
      <xdr:rowOff>95250</xdr:rowOff>
    </xdr:to>
    <xdr:sp>
      <xdr:nvSpPr>
        <xdr:cNvPr id="21" name="Line 21"/>
        <xdr:cNvSpPr>
          <a:spLocks/>
        </xdr:cNvSpPr>
      </xdr:nvSpPr>
      <xdr:spPr>
        <a:xfrm flipH="1">
          <a:off x="5534025" y="3838575"/>
          <a:ext cx="9525" cy="3381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381000</xdr:colOff>
      <xdr:row>23</xdr:row>
      <xdr:rowOff>85725</xdr:rowOff>
    </xdr:from>
    <xdr:to>
      <xdr:col>7</xdr:col>
      <xdr:colOff>0</xdr:colOff>
      <xdr:row>23</xdr:row>
      <xdr:rowOff>85725</xdr:rowOff>
    </xdr:to>
    <xdr:sp>
      <xdr:nvSpPr>
        <xdr:cNvPr id="22" name="Line 22"/>
        <xdr:cNvSpPr>
          <a:spLocks/>
        </xdr:cNvSpPr>
      </xdr:nvSpPr>
      <xdr:spPr>
        <a:xfrm flipV="1">
          <a:off x="5524500" y="41052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428625</xdr:colOff>
      <xdr:row>22</xdr:row>
      <xdr:rowOff>0</xdr:rowOff>
    </xdr:from>
    <xdr:to>
      <xdr:col>10</xdr:col>
      <xdr:colOff>428625</xdr:colOff>
      <xdr:row>41</xdr:row>
      <xdr:rowOff>123825</xdr:rowOff>
    </xdr:to>
    <xdr:sp>
      <xdr:nvSpPr>
        <xdr:cNvPr id="23" name="Line 23"/>
        <xdr:cNvSpPr>
          <a:spLocks/>
        </xdr:cNvSpPr>
      </xdr:nvSpPr>
      <xdr:spPr>
        <a:xfrm>
          <a:off x="7781925" y="3848100"/>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24</xdr:row>
      <xdr:rowOff>66675</xdr:rowOff>
    </xdr:from>
    <xdr:to>
      <xdr:col>10</xdr:col>
      <xdr:colOff>800100</xdr:colOff>
      <xdr:row>24</xdr:row>
      <xdr:rowOff>66675</xdr:rowOff>
    </xdr:to>
    <xdr:sp>
      <xdr:nvSpPr>
        <xdr:cNvPr id="24" name="Line 24"/>
        <xdr:cNvSpPr>
          <a:spLocks/>
        </xdr:cNvSpPr>
      </xdr:nvSpPr>
      <xdr:spPr>
        <a:xfrm>
          <a:off x="7791450" y="42576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28</xdr:row>
      <xdr:rowOff>123825</xdr:rowOff>
    </xdr:from>
    <xdr:to>
      <xdr:col>11</xdr:col>
      <xdr:colOff>0</xdr:colOff>
      <xdr:row>28</xdr:row>
      <xdr:rowOff>123825</xdr:rowOff>
    </xdr:to>
    <xdr:sp>
      <xdr:nvSpPr>
        <xdr:cNvPr id="25" name="Line 25"/>
        <xdr:cNvSpPr>
          <a:spLocks/>
        </xdr:cNvSpPr>
      </xdr:nvSpPr>
      <xdr:spPr>
        <a:xfrm>
          <a:off x="7791450" y="50006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15</xdr:row>
      <xdr:rowOff>161925</xdr:rowOff>
    </xdr:from>
    <xdr:to>
      <xdr:col>13</xdr:col>
      <xdr:colOff>561975</xdr:colOff>
      <xdr:row>20</xdr:row>
      <xdr:rowOff>9525</xdr:rowOff>
    </xdr:to>
    <xdr:sp>
      <xdr:nvSpPr>
        <xdr:cNvPr id="26" name="Line 26"/>
        <xdr:cNvSpPr>
          <a:spLocks/>
        </xdr:cNvSpPr>
      </xdr:nvSpPr>
      <xdr:spPr>
        <a:xfrm>
          <a:off x="10506075" y="28289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13</xdr:col>
      <xdr:colOff>571500</xdr:colOff>
      <xdr:row>19</xdr:row>
      <xdr:rowOff>0</xdr:rowOff>
    </xdr:to>
    <xdr:sp>
      <xdr:nvSpPr>
        <xdr:cNvPr id="27" name="Line 27"/>
        <xdr:cNvSpPr>
          <a:spLocks/>
        </xdr:cNvSpPr>
      </xdr:nvSpPr>
      <xdr:spPr>
        <a:xfrm flipH="1">
          <a:off x="7810500" y="3343275"/>
          <a:ext cx="2705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10</xdr:col>
      <xdr:colOff>457200</xdr:colOff>
      <xdr:row>20</xdr:row>
      <xdr:rowOff>0</xdr:rowOff>
    </xdr:to>
    <xdr:sp>
      <xdr:nvSpPr>
        <xdr:cNvPr id="28" name="Line 28"/>
        <xdr:cNvSpPr>
          <a:spLocks/>
        </xdr:cNvSpPr>
      </xdr:nvSpPr>
      <xdr:spPr>
        <a:xfrm>
          <a:off x="7810500" y="3343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19</xdr:row>
      <xdr:rowOff>0</xdr:rowOff>
    </xdr:from>
    <xdr:to>
      <xdr:col>15</xdr:col>
      <xdr:colOff>342900</xdr:colOff>
      <xdr:row>19</xdr:row>
      <xdr:rowOff>9525</xdr:rowOff>
    </xdr:to>
    <xdr:sp>
      <xdr:nvSpPr>
        <xdr:cNvPr id="29" name="Line 29"/>
        <xdr:cNvSpPr>
          <a:spLocks/>
        </xdr:cNvSpPr>
      </xdr:nvSpPr>
      <xdr:spPr>
        <a:xfrm>
          <a:off x="10506075" y="3343275"/>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361950</xdr:colOff>
      <xdr:row>19</xdr:row>
      <xdr:rowOff>0</xdr:rowOff>
    </xdr:from>
    <xdr:to>
      <xdr:col>15</xdr:col>
      <xdr:colOff>361950</xdr:colOff>
      <xdr:row>20</xdr:row>
      <xdr:rowOff>9525</xdr:rowOff>
    </xdr:to>
    <xdr:sp>
      <xdr:nvSpPr>
        <xdr:cNvPr id="30" name="Line 30"/>
        <xdr:cNvSpPr>
          <a:spLocks/>
        </xdr:cNvSpPr>
      </xdr:nvSpPr>
      <xdr:spPr>
        <a:xfrm>
          <a:off x="12677775" y="33432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571500</xdr:colOff>
      <xdr:row>21</xdr:row>
      <xdr:rowOff>152400</xdr:rowOff>
    </xdr:from>
    <xdr:to>
      <xdr:col>13</xdr:col>
      <xdr:colOff>600075</xdr:colOff>
      <xdr:row>41</xdr:row>
      <xdr:rowOff>0</xdr:rowOff>
    </xdr:to>
    <xdr:sp>
      <xdr:nvSpPr>
        <xdr:cNvPr id="31" name="Line 31"/>
        <xdr:cNvSpPr>
          <a:spLocks/>
        </xdr:cNvSpPr>
      </xdr:nvSpPr>
      <xdr:spPr>
        <a:xfrm>
          <a:off x="10515600" y="3829050"/>
          <a:ext cx="1905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552450</xdr:colOff>
      <xdr:row>23</xdr:row>
      <xdr:rowOff>85725</xdr:rowOff>
    </xdr:from>
    <xdr:to>
      <xdr:col>14</xdr:col>
      <xdr:colOff>0</xdr:colOff>
      <xdr:row>23</xdr:row>
      <xdr:rowOff>85725</xdr:rowOff>
    </xdr:to>
    <xdr:sp>
      <xdr:nvSpPr>
        <xdr:cNvPr id="32" name="Line 32"/>
        <xdr:cNvSpPr>
          <a:spLocks/>
        </xdr:cNvSpPr>
      </xdr:nvSpPr>
      <xdr:spPr>
        <a:xfrm>
          <a:off x="10496550" y="41052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23</xdr:row>
      <xdr:rowOff>66675</xdr:rowOff>
    </xdr:from>
    <xdr:to>
      <xdr:col>15</xdr:col>
      <xdr:colOff>695325</xdr:colOff>
      <xdr:row>23</xdr:row>
      <xdr:rowOff>66675</xdr:rowOff>
    </xdr:to>
    <xdr:sp>
      <xdr:nvSpPr>
        <xdr:cNvPr id="33" name="Line 33"/>
        <xdr:cNvSpPr>
          <a:spLocks/>
        </xdr:cNvSpPr>
      </xdr:nvSpPr>
      <xdr:spPr>
        <a:xfrm>
          <a:off x="12658725" y="4086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333375</xdr:colOff>
      <xdr:row>22</xdr:row>
      <xdr:rowOff>9525</xdr:rowOff>
    </xdr:from>
    <xdr:to>
      <xdr:col>15</xdr:col>
      <xdr:colOff>371475</xdr:colOff>
      <xdr:row>41</xdr:row>
      <xdr:rowOff>123825</xdr:rowOff>
    </xdr:to>
    <xdr:sp>
      <xdr:nvSpPr>
        <xdr:cNvPr id="34" name="Line 34"/>
        <xdr:cNvSpPr>
          <a:spLocks/>
        </xdr:cNvSpPr>
      </xdr:nvSpPr>
      <xdr:spPr>
        <a:xfrm flipH="1">
          <a:off x="12649200" y="3857625"/>
          <a:ext cx="28575" cy="3390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18</xdr:row>
      <xdr:rowOff>9525</xdr:rowOff>
    </xdr:from>
    <xdr:to>
      <xdr:col>14</xdr:col>
      <xdr:colOff>9525</xdr:colOff>
      <xdr:row>18</xdr:row>
      <xdr:rowOff>9525</xdr:rowOff>
    </xdr:to>
    <xdr:sp>
      <xdr:nvSpPr>
        <xdr:cNvPr id="35" name="Line 35"/>
        <xdr:cNvSpPr>
          <a:spLocks/>
        </xdr:cNvSpPr>
      </xdr:nvSpPr>
      <xdr:spPr>
        <a:xfrm>
          <a:off x="10506075" y="31813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26</xdr:row>
      <xdr:rowOff>142875</xdr:rowOff>
    </xdr:from>
    <xdr:to>
      <xdr:col>16</xdr:col>
      <xdr:colOff>0</xdr:colOff>
      <xdr:row>26</xdr:row>
      <xdr:rowOff>142875</xdr:rowOff>
    </xdr:to>
    <xdr:sp>
      <xdr:nvSpPr>
        <xdr:cNvPr id="36" name="Line 36"/>
        <xdr:cNvSpPr>
          <a:spLocks/>
        </xdr:cNvSpPr>
      </xdr:nvSpPr>
      <xdr:spPr>
        <a:xfrm>
          <a:off x="12658725" y="46767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19</xdr:row>
      <xdr:rowOff>9525</xdr:rowOff>
    </xdr:from>
    <xdr:to>
      <xdr:col>6</xdr:col>
      <xdr:colOff>333375</xdr:colOff>
      <xdr:row>19</xdr:row>
      <xdr:rowOff>9525</xdr:rowOff>
    </xdr:to>
    <xdr:sp>
      <xdr:nvSpPr>
        <xdr:cNvPr id="37" name="Line 37"/>
        <xdr:cNvSpPr>
          <a:spLocks/>
        </xdr:cNvSpPr>
      </xdr:nvSpPr>
      <xdr:spPr>
        <a:xfrm>
          <a:off x="3067050" y="335280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2</xdr:row>
      <xdr:rowOff>161925</xdr:rowOff>
    </xdr:from>
    <xdr:to>
      <xdr:col>7</xdr:col>
      <xdr:colOff>571500</xdr:colOff>
      <xdr:row>4</xdr:row>
      <xdr:rowOff>0</xdr:rowOff>
    </xdr:to>
    <xdr:sp>
      <xdr:nvSpPr>
        <xdr:cNvPr id="38" name="Line 38"/>
        <xdr:cNvSpPr>
          <a:spLocks/>
        </xdr:cNvSpPr>
      </xdr:nvSpPr>
      <xdr:spPr>
        <a:xfrm>
          <a:off x="6496050" y="571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542925</xdr:colOff>
      <xdr:row>4</xdr:row>
      <xdr:rowOff>161925</xdr:rowOff>
    </xdr:from>
    <xdr:to>
      <xdr:col>7</xdr:col>
      <xdr:colOff>542925</xdr:colOff>
      <xdr:row>5</xdr:row>
      <xdr:rowOff>161925</xdr:rowOff>
    </xdr:to>
    <xdr:sp>
      <xdr:nvSpPr>
        <xdr:cNvPr id="39" name="Line 39"/>
        <xdr:cNvSpPr>
          <a:spLocks/>
        </xdr:cNvSpPr>
      </xdr:nvSpPr>
      <xdr:spPr>
        <a:xfrm>
          <a:off x="6467475" y="9334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9525</xdr:colOff>
      <xdr:row>41</xdr:row>
      <xdr:rowOff>76200</xdr:rowOff>
    </xdr:from>
    <xdr:to>
      <xdr:col>6</xdr:col>
      <xdr:colOff>381000</xdr:colOff>
      <xdr:row>41</xdr:row>
      <xdr:rowOff>85725</xdr:rowOff>
    </xdr:to>
    <xdr:sp>
      <xdr:nvSpPr>
        <xdr:cNvPr id="40" name="Line 40"/>
        <xdr:cNvSpPr>
          <a:spLocks/>
        </xdr:cNvSpPr>
      </xdr:nvSpPr>
      <xdr:spPr>
        <a:xfrm flipH="1">
          <a:off x="3609975" y="7200900"/>
          <a:ext cx="1914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419100</xdr:colOff>
      <xdr:row>41</xdr:row>
      <xdr:rowOff>104775</xdr:rowOff>
    </xdr:from>
    <xdr:to>
      <xdr:col>13</xdr:col>
      <xdr:colOff>0</xdr:colOff>
      <xdr:row>41</xdr:row>
      <xdr:rowOff>104775</xdr:rowOff>
    </xdr:to>
    <xdr:sp>
      <xdr:nvSpPr>
        <xdr:cNvPr id="41" name="Line 41"/>
        <xdr:cNvSpPr>
          <a:spLocks/>
        </xdr:cNvSpPr>
      </xdr:nvSpPr>
      <xdr:spPr>
        <a:xfrm>
          <a:off x="7772400" y="722947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9525</xdr:colOff>
      <xdr:row>41</xdr:row>
      <xdr:rowOff>114300</xdr:rowOff>
    </xdr:from>
    <xdr:to>
      <xdr:col>15</xdr:col>
      <xdr:colOff>323850</xdr:colOff>
      <xdr:row>41</xdr:row>
      <xdr:rowOff>114300</xdr:rowOff>
    </xdr:to>
    <xdr:sp>
      <xdr:nvSpPr>
        <xdr:cNvPr id="42" name="Line 42"/>
        <xdr:cNvSpPr>
          <a:spLocks/>
        </xdr:cNvSpPr>
      </xdr:nvSpPr>
      <xdr:spPr>
        <a:xfrm flipH="1">
          <a:off x="11125200" y="723900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1285875</xdr:colOff>
      <xdr:row>15</xdr:row>
      <xdr:rowOff>85725</xdr:rowOff>
    </xdr:from>
    <xdr:to>
      <xdr:col>3</xdr:col>
      <xdr:colOff>0</xdr:colOff>
      <xdr:row>15</xdr:row>
      <xdr:rowOff>85725</xdr:rowOff>
    </xdr:to>
    <xdr:sp>
      <xdr:nvSpPr>
        <xdr:cNvPr id="43" name="Line 43"/>
        <xdr:cNvSpPr>
          <a:spLocks/>
        </xdr:cNvSpPr>
      </xdr:nvSpPr>
      <xdr:spPr>
        <a:xfrm flipH="1" flipV="1">
          <a:off x="2190750" y="27527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41</xdr:row>
      <xdr:rowOff>66675</xdr:rowOff>
    </xdr:from>
    <xdr:to>
      <xdr:col>2</xdr:col>
      <xdr:colOff>9525</xdr:colOff>
      <xdr:row>41</xdr:row>
      <xdr:rowOff>76200</xdr:rowOff>
    </xdr:to>
    <xdr:sp>
      <xdr:nvSpPr>
        <xdr:cNvPr id="44" name="Line 44"/>
        <xdr:cNvSpPr>
          <a:spLocks/>
        </xdr:cNvSpPr>
      </xdr:nvSpPr>
      <xdr:spPr>
        <a:xfrm>
          <a:off x="285750" y="7191375"/>
          <a:ext cx="1933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123825</xdr:rowOff>
    </xdr:from>
    <xdr:to>
      <xdr:col>4</xdr:col>
      <xdr:colOff>1085850</xdr:colOff>
      <xdr:row>22</xdr:row>
      <xdr:rowOff>47625</xdr:rowOff>
    </xdr:to>
    <xdr:graphicFrame>
      <xdr:nvGraphicFramePr>
        <xdr:cNvPr id="1" name="Chart 2"/>
        <xdr:cNvGraphicFramePr/>
      </xdr:nvGraphicFramePr>
      <xdr:xfrm>
        <a:off x="9525" y="1943100"/>
        <a:ext cx="6267450" cy="2200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123825</xdr:rowOff>
    </xdr:from>
    <xdr:to>
      <xdr:col>4</xdr:col>
      <xdr:colOff>1019175</xdr:colOff>
      <xdr:row>45</xdr:row>
      <xdr:rowOff>57150</xdr:rowOff>
    </xdr:to>
    <xdr:graphicFrame>
      <xdr:nvGraphicFramePr>
        <xdr:cNvPr id="2" name="Chart 4"/>
        <xdr:cNvGraphicFramePr/>
      </xdr:nvGraphicFramePr>
      <xdr:xfrm>
        <a:off x="0" y="7067550"/>
        <a:ext cx="6210300" cy="1885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0</xdr:colOff>
      <xdr:row>19</xdr:row>
      <xdr:rowOff>0</xdr:rowOff>
    </xdr:to>
    <xdr:graphicFrame>
      <xdr:nvGraphicFramePr>
        <xdr:cNvPr id="1" name="Chart 2"/>
        <xdr:cNvGraphicFramePr/>
      </xdr:nvGraphicFramePr>
      <xdr:xfrm>
        <a:off x="0" y="3895725"/>
        <a:ext cx="63817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0</xdr:rowOff>
    </xdr:from>
    <xdr:to>
      <xdr:col>4</xdr:col>
      <xdr:colOff>1057275</xdr:colOff>
      <xdr:row>28</xdr:row>
      <xdr:rowOff>76200</xdr:rowOff>
    </xdr:to>
    <xdr:graphicFrame>
      <xdr:nvGraphicFramePr>
        <xdr:cNvPr id="2" name="Chart 3"/>
        <xdr:cNvGraphicFramePr/>
      </xdr:nvGraphicFramePr>
      <xdr:xfrm>
        <a:off x="0" y="2438400"/>
        <a:ext cx="6238875" cy="2990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0</xdr:rowOff>
    </xdr:from>
    <xdr:to>
      <xdr:col>4</xdr:col>
      <xdr:colOff>1000125</xdr:colOff>
      <xdr:row>48</xdr:row>
      <xdr:rowOff>57150</xdr:rowOff>
    </xdr:to>
    <xdr:graphicFrame>
      <xdr:nvGraphicFramePr>
        <xdr:cNvPr id="3" name="Chart 4"/>
        <xdr:cNvGraphicFramePr/>
      </xdr:nvGraphicFramePr>
      <xdr:xfrm>
        <a:off x="0" y="5676900"/>
        <a:ext cx="6181725" cy="29718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0</xdr:colOff>
      <xdr:row>16</xdr:row>
      <xdr:rowOff>0</xdr:rowOff>
    </xdr:to>
    <xdr:graphicFrame>
      <xdr:nvGraphicFramePr>
        <xdr:cNvPr id="1" name="Chart 2"/>
        <xdr:cNvGraphicFramePr/>
      </xdr:nvGraphicFramePr>
      <xdr:xfrm>
        <a:off x="0" y="4391025"/>
        <a:ext cx="63817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85725</xdr:rowOff>
    </xdr:from>
    <xdr:to>
      <xdr:col>4</xdr:col>
      <xdr:colOff>1095375</xdr:colOff>
      <xdr:row>42</xdr:row>
      <xdr:rowOff>104775</xdr:rowOff>
    </xdr:to>
    <xdr:graphicFrame>
      <xdr:nvGraphicFramePr>
        <xdr:cNvPr id="2" name="Chart 3"/>
        <xdr:cNvGraphicFramePr/>
      </xdr:nvGraphicFramePr>
      <xdr:xfrm>
        <a:off x="0" y="3343275"/>
        <a:ext cx="6276975" cy="53625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38100</xdr:rowOff>
    </xdr:from>
    <xdr:to>
      <xdr:col>8</xdr:col>
      <xdr:colOff>1495425</xdr:colOff>
      <xdr:row>41</xdr:row>
      <xdr:rowOff>38100</xdr:rowOff>
    </xdr:to>
    <xdr:graphicFrame>
      <xdr:nvGraphicFramePr>
        <xdr:cNvPr id="1" name="Chart 4"/>
        <xdr:cNvGraphicFramePr/>
      </xdr:nvGraphicFramePr>
      <xdr:xfrm>
        <a:off x="0" y="4791075"/>
        <a:ext cx="10039350" cy="2228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95250</xdr:rowOff>
    </xdr:from>
    <xdr:to>
      <xdr:col>6</xdr:col>
      <xdr:colOff>828675</xdr:colOff>
      <xdr:row>37</xdr:row>
      <xdr:rowOff>66675</xdr:rowOff>
    </xdr:to>
    <xdr:graphicFrame>
      <xdr:nvGraphicFramePr>
        <xdr:cNvPr id="1" name="Chart 2"/>
        <xdr:cNvGraphicFramePr/>
      </xdr:nvGraphicFramePr>
      <xdr:xfrm>
        <a:off x="47625" y="5514975"/>
        <a:ext cx="6610350" cy="382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619125</xdr:rowOff>
    </xdr:from>
    <xdr:to>
      <xdr:col>7</xdr:col>
      <xdr:colOff>904875</xdr:colOff>
      <xdr:row>43</xdr:row>
      <xdr:rowOff>76200</xdr:rowOff>
    </xdr:to>
    <xdr:graphicFrame>
      <xdr:nvGraphicFramePr>
        <xdr:cNvPr id="1" name="Chart 4"/>
        <xdr:cNvGraphicFramePr/>
      </xdr:nvGraphicFramePr>
      <xdr:xfrm>
        <a:off x="28575" y="6096000"/>
        <a:ext cx="6810375" cy="3638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9525</xdr:rowOff>
    </xdr:from>
    <xdr:to>
      <xdr:col>6</xdr:col>
      <xdr:colOff>1028700</xdr:colOff>
      <xdr:row>42</xdr:row>
      <xdr:rowOff>142875</xdr:rowOff>
    </xdr:to>
    <xdr:graphicFrame>
      <xdr:nvGraphicFramePr>
        <xdr:cNvPr id="1" name="Chart 2"/>
        <xdr:cNvGraphicFramePr/>
      </xdr:nvGraphicFramePr>
      <xdr:xfrm>
        <a:off x="9525" y="5276850"/>
        <a:ext cx="7153275" cy="4514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topaloglu\Desktop\2004%20,%202005%20ve%202006%20%20slaytlar&#305;\Ayl&#305;k%20b&#252;lten%20mar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20&#199;al&#305;&#351;malar&#305;\&#350;UBAT%202006%20&#304;STAT&#304;ST&#304;K&#304;%20B&#220;LT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s>
    <sheetDataSet>
      <sheetData sheetId="9">
        <row r="4">
          <cell r="B4" t="str">
            <v>SSK (*)</v>
          </cell>
          <cell r="C4" t="str">
            <v>BAĞ - KUR</v>
          </cell>
          <cell r="D4" t="str">
            <v> EMEKLİ SANDIĞI</v>
          </cell>
        </row>
        <row r="5">
          <cell r="A5">
            <v>1999</v>
          </cell>
          <cell r="B5">
            <v>1111000</v>
          </cell>
          <cell r="C5">
            <v>796145</v>
          </cell>
          <cell r="D5">
            <v>1035000</v>
          </cell>
        </row>
        <row r="6">
          <cell r="A6">
            <v>2000</v>
          </cell>
          <cell r="B6">
            <v>400000</v>
          </cell>
          <cell r="C6">
            <v>1051460</v>
          </cell>
          <cell r="D6">
            <v>1775000</v>
          </cell>
        </row>
        <row r="7">
          <cell r="A7">
            <v>2001</v>
          </cell>
          <cell r="B7">
            <v>1108000</v>
          </cell>
          <cell r="C7">
            <v>1740000</v>
          </cell>
          <cell r="D7">
            <v>2675000</v>
          </cell>
        </row>
        <row r="8">
          <cell r="A8">
            <v>2002</v>
          </cell>
          <cell r="B8">
            <v>2386000</v>
          </cell>
          <cell r="C8">
            <v>2622000</v>
          </cell>
          <cell r="D8">
            <v>4676000</v>
          </cell>
        </row>
        <row r="9">
          <cell r="A9">
            <v>2003</v>
          </cell>
          <cell r="B9">
            <v>4808617</v>
          </cell>
          <cell r="C9">
            <v>4930000</v>
          </cell>
          <cell r="D9">
            <v>6145000</v>
          </cell>
        </row>
        <row r="10">
          <cell r="A10">
            <v>2004</v>
          </cell>
          <cell r="B10">
            <v>5757000</v>
          </cell>
          <cell r="C10">
            <v>5273000</v>
          </cell>
          <cell r="D10">
            <v>7800000</v>
          </cell>
        </row>
        <row r="11">
          <cell r="A11" t="str">
            <v>2005(**)</v>
          </cell>
          <cell r="B11">
            <v>6593000</v>
          </cell>
          <cell r="C11">
            <v>6926000</v>
          </cell>
          <cell r="D11">
            <v>8889300</v>
          </cell>
        </row>
      </sheetData>
      <sheetData sheetId="14">
        <row r="34">
          <cell r="B34">
            <v>1960</v>
          </cell>
          <cell r="C34">
            <v>1965</v>
          </cell>
          <cell r="D34">
            <v>1970</v>
          </cell>
          <cell r="E34">
            <v>1975</v>
          </cell>
          <cell r="F34">
            <v>1980</v>
          </cell>
          <cell r="G34">
            <v>1985</v>
          </cell>
          <cell r="H34">
            <v>1990</v>
          </cell>
          <cell r="I34">
            <v>1995</v>
          </cell>
          <cell r="J34">
            <v>1999</v>
          </cell>
          <cell r="K34">
            <v>2000</v>
          </cell>
          <cell r="L34">
            <v>2001</v>
          </cell>
          <cell r="M34">
            <v>2002</v>
          </cell>
          <cell r="N34">
            <v>2003</v>
          </cell>
          <cell r="O34">
            <v>2004</v>
          </cell>
          <cell r="P34">
            <v>2005</v>
          </cell>
        </row>
        <row r="35">
          <cell r="B35">
            <v>24.3</v>
          </cell>
          <cell r="C35">
            <v>16.88</v>
          </cell>
          <cell r="D35">
            <v>9.03</v>
          </cell>
          <cell r="E35">
            <v>6.29</v>
          </cell>
          <cell r="F35">
            <v>3.47</v>
          </cell>
          <cell r="G35">
            <v>2.45</v>
          </cell>
          <cell r="H35">
            <v>2.39</v>
          </cell>
          <cell r="I35">
            <v>2.44</v>
          </cell>
          <cell r="J35">
            <v>2.02</v>
          </cell>
          <cell r="K35">
            <v>1.97</v>
          </cell>
          <cell r="L35">
            <v>1.72</v>
          </cell>
          <cell r="M35">
            <v>1.75</v>
          </cell>
          <cell r="N35">
            <v>1.72</v>
          </cell>
          <cell r="O35">
            <v>1.69</v>
          </cell>
          <cell r="P35">
            <v>1.75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ORG.ŞEMASI-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s>
    <sheetDataSet>
      <sheetData sheetId="20">
        <row r="12">
          <cell r="H12">
            <v>3594350.1</v>
          </cell>
        </row>
        <row r="13">
          <cell r="H13">
            <v>4981193.7</v>
          </cell>
        </row>
        <row r="14">
          <cell r="H14">
            <v>6635691</v>
          </cell>
        </row>
        <row r="15">
          <cell r="H15">
            <v>7677105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showGridLines="0" workbookViewId="0" topLeftCell="A31">
      <selection activeCell="K37" sqref="K37"/>
    </sheetView>
  </sheetViews>
  <sheetFormatPr defaultColWidth="9.00390625" defaultRowHeight="12.75"/>
  <sheetData>
    <row r="1" spans="1:9" ht="23.25" thickTop="1">
      <c r="A1" s="423" t="s">
        <v>2</v>
      </c>
      <c r="B1" s="424"/>
      <c r="C1" s="424"/>
      <c r="D1" s="424"/>
      <c r="E1" s="424"/>
      <c r="F1" s="424"/>
      <c r="G1" s="424"/>
      <c r="H1" s="424"/>
      <c r="I1" s="425"/>
    </row>
    <row r="2" spans="1:9" ht="22.5">
      <c r="A2" s="426" t="s">
        <v>3</v>
      </c>
      <c r="B2" s="427"/>
      <c r="C2" s="427"/>
      <c r="D2" s="427"/>
      <c r="E2" s="427"/>
      <c r="F2" s="427"/>
      <c r="G2" s="427"/>
      <c r="H2" s="427"/>
      <c r="I2" s="428"/>
    </row>
    <row r="3" spans="1:9" ht="20.25">
      <c r="A3" s="429" t="s">
        <v>4</v>
      </c>
      <c r="B3" s="430"/>
      <c r="C3" s="430"/>
      <c r="D3" s="430"/>
      <c r="E3" s="430"/>
      <c r="F3" s="430"/>
      <c r="G3" s="430"/>
      <c r="H3" s="430"/>
      <c r="I3" s="431"/>
    </row>
    <row r="4" spans="1:9" ht="20.25">
      <c r="A4" s="429" t="s">
        <v>504</v>
      </c>
      <c r="B4" s="430"/>
      <c r="C4" s="430"/>
      <c r="D4" s="430"/>
      <c r="E4" s="430"/>
      <c r="F4" s="430"/>
      <c r="G4" s="430"/>
      <c r="H4" s="430"/>
      <c r="I4" s="431"/>
    </row>
    <row r="5" spans="1:9" ht="12.75">
      <c r="A5" s="390"/>
      <c r="B5" s="391"/>
      <c r="C5" s="391"/>
      <c r="D5" s="391"/>
      <c r="E5" s="391"/>
      <c r="F5" s="391"/>
      <c r="G5" s="391"/>
      <c r="H5" s="391"/>
      <c r="I5" s="392"/>
    </row>
    <row r="6" spans="1:9" ht="12.75">
      <c r="A6" s="390"/>
      <c r="B6" s="391"/>
      <c r="C6" s="391"/>
      <c r="D6" s="391"/>
      <c r="E6" s="391"/>
      <c r="F6" s="391"/>
      <c r="G6" s="391"/>
      <c r="H6" s="391"/>
      <c r="I6" s="392"/>
    </row>
    <row r="7" spans="1:9" ht="12.75">
      <c r="A7" s="390"/>
      <c r="B7" s="391"/>
      <c r="C7" s="391"/>
      <c r="D7" s="391"/>
      <c r="E7" s="391"/>
      <c r="F7" s="391"/>
      <c r="G7" s="391"/>
      <c r="H7" s="391"/>
      <c r="I7" s="392"/>
    </row>
    <row r="8" spans="1:9" ht="12.75">
      <c r="A8" s="390"/>
      <c r="B8" s="391"/>
      <c r="C8" s="391"/>
      <c r="D8" s="391"/>
      <c r="E8" s="391"/>
      <c r="F8" s="391"/>
      <c r="G8" s="391"/>
      <c r="H8" s="391"/>
      <c r="I8" s="392"/>
    </row>
    <row r="9" spans="1:9" ht="12.75">
      <c r="A9" s="390"/>
      <c r="B9" s="391"/>
      <c r="C9" s="391"/>
      <c r="D9" s="391"/>
      <c r="E9" s="391"/>
      <c r="F9" s="391"/>
      <c r="G9" s="391"/>
      <c r="H9" s="391"/>
      <c r="I9" s="392"/>
    </row>
    <row r="10" spans="1:9" ht="12.75">
      <c r="A10" s="390"/>
      <c r="B10" s="391"/>
      <c r="C10" s="391"/>
      <c r="D10" s="391"/>
      <c r="E10" s="391"/>
      <c r="F10" s="391"/>
      <c r="G10" s="391"/>
      <c r="H10" s="391"/>
      <c r="I10" s="392"/>
    </row>
    <row r="11" spans="1:9" ht="12.75">
      <c r="A11" s="390"/>
      <c r="B11" s="391"/>
      <c r="C11" s="391"/>
      <c r="D11" s="391"/>
      <c r="E11" s="391"/>
      <c r="F11" s="391"/>
      <c r="G11" s="391"/>
      <c r="H11" s="391"/>
      <c r="I11" s="392"/>
    </row>
    <row r="12" spans="1:9" ht="12.75">
      <c r="A12" s="390"/>
      <c r="B12" s="391"/>
      <c r="C12" s="391"/>
      <c r="D12" s="391"/>
      <c r="E12" s="391"/>
      <c r="F12" s="391"/>
      <c r="G12" s="391"/>
      <c r="H12" s="391"/>
      <c r="I12" s="392"/>
    </row>
    <row r="13" spans="1:9" ht="12.75">
      <c r="A13" s="390"/>
      <c r="B13" s="391"/>
      <c r="C13" s="391"/>
      <c r="D13" s="391"/>
      <c r="E13" s="391"/>
      <c r="F13" s="391"/>
      <c r="G13" s="391"/>
      <c r="H13" s="391"/>
      <c r="I13" s="392"/>
    </row>
    <row r="14" spans="1:9" ht="12.75">
      <c r="A14" s="390"/>
      <c r="B14" s="391"/>
      <c r="C14" s="391"/>
      <c r="D14" s="391"/>
      <c r="E14" s="391"/>
      <c r="F14" s="391"/>
      <c r="G14" s="391"/>
      <c r="H14" s="391"/>
      <c r="I14" s="392"/>
    </row>
    <row r="15" spans="1:9" ht="12.75">
      <c r="A15" s="390"/>
      <c r="B15" s="391"/>
      <c r="C15" s="391"/>
      <c r="D15" s="391"/>
      <c r="E15" s="391"/>
      <c r="F15" s="391"/>
      <c r="G15" s="391"/>
      <c r="H15" s="391"/>
      <c r="I15" s="392"/>
    </row>
    <row r="16" spans="1:9" ht="12.75">
      <c r="A16" s="390"/>
      <c r="B16" s="391"/>
      <c r="C16" s="391"/>
      <c r="D16" s="391"/>
      <c r="E16" s="391"/>
      <c r="F16" s="391"/>
      <c r="G16" s="391"/>
      <c r="H16" s="391"/>
      <c r="I16" s="392"/>
    </row>
    <row r="17" spans="1:9" ht="12.75">
      <c r="A17" s="390"/>
      <c r="B17" s="391"/>
      <c r="C17" s="391"/>
      <c r="D17" s="391"/>
      <c r="E17" s="391"/>
      <c r="F17" s="391"/>
      <c r="G17" s="391"/>
      <c r="H17" s="391"/>
      <c r="I17" s="392"/>
    </row>
    <row r="18" spans="1:9" ht="12.75">
      <c r="A18" s="390"/>
      <c r="B18" s="391"/>
      <c r="C18" s="391"/>
      <c r="D18" s="391"/>
      <c r="E18" s="391"/>
      <c r="F18" s="391"/>
      <c r="G18" s="391"/>
      <c r="H18" s="391"/>
      <c r="I18" s="392"/>
    </row>
    <row r="19" spans="1:9" ht="12.75">
      <c r="A19" s="390"/>
      <c r="B19" s="391"/>
      <c r="C19" s="391"/>
      <c r="D19" s="391"/>
      <c r="E19" s="391"/>
      <c r="F19" s="391"/>
      <c r="G19" s="391"/>
      <c r="H19" s="391"/>
      <c r="I19" s="392"/>
    </row>
    <row r="20" spans="1:9" ht="19.5" customHeight="1">
      <c r="A20" s="390"/>
      <c r="B20" s="391"/>
      <c r="C20" s="391"/>
      <c r="D20" s="391"/>
      <c r="E20" s="391"/>
      <c r="F20" s="391"/>
      <c r="G20" s="391"/>
      <c r="H20" s="391"/>
      <c r="I20" s="392"/>
    </row>
    <row r="21" spans="1:9" ht="62.25" customHeight="1">
      <c r="A21" s="414" t="s">
        <v>6</v>
      </c>
      <c r="B21" s="415"/>
      <c r="C21" s="415"/>
      <c r="D21" s="415"/>
      <c r="E21" s="415"/>
      <c r="F21" s="415"/>
      <c r="G21" s="415"/>
      <c r="H21" s="415"/>
      <c r="I21" s="416"/>
    </row>
    <row r="22" spans="1:9" ht="12.75">
      <c r="A22" s="390"/>
      <c r="B22" s="391"/>
      <c r="C22" s="391"/>
      <c r="D22" s="391"/>
      <c r="E22" s="391"/>
      <c r="F22" s="391"/>
      <c r="G22" s="391"/>
      <c r="H22" s="391"/>
      <c r="I22" s="392"/>
    </row>
    <row r="23" spans="1:9" ht="22.5" customHeight="1">
      <c r="A23" s="414"/>
      <c r="B23" s="415"/>
      <c r="C23" s="415"/>
      <c r="D23" s="415"/>
      <c r="E23" s="415"/>
      <c r="F23" s="415"/>
      <c r="G23" s="415"/>
      <c r="H23" s="415"/>
      <c r="I23" s="416"/>
    </row>
    <row r="24" spans="1:9" ht="12.75">
      <c r="A24" s="390"/>
      <c r="B24" s="391"/>
      <c r="C24" s="391"/>
      <c r="D24" s="391"/>
      <c r="E24" s="391"/>
      <c r="F24" s="391"/>
      <c r="G24" s="391"/>
      <c r="H24" s="391"/>
      <c r="I24" s="392"/>
    </row>
    <row r="25" spans="1:9" ht="12.75">
      <c r="A25" s="390"/>
      <c r="B25" s="391"/>
      <c r="C25" s="391"/>
      <c r="D25" s="391"/>
      <c r="E25" s="391"/>
      <c r="F25" s="391"/>
      <c r="G25" s="391"/>
      <c r="H25" s="391"/>
      <c r="I25" s="392"/>
    </row>
    <row r="26" spans="1:9" ht="12.75">
      <c r="A26" s="390"/>
      <c r="B26" s="391"/>
      <c r="C26" s="391"/>
      <c r="D26" s="391"/>
      <c r="E26" s="391"/>
      <c r="F26" s="391"/>
      <c r="G26" s="391"/>
      <c r="H26" s="391"/>
      <c r="I26" s="392"/>
    </row>
    <row r="27" spans="1:9" ht="12.75">
      <c r="A27" s="390"/>
      <c r="B27" s="391"/>
      <c r="C27" s="391"/>
      <c r="D27" s="391"/>
      <c r="E27" s="391"/>
      <c r="F27" s="391"/>
      <c r="G27" s="391"/>
      <c r="H27" s="391"/>
      <c r="I27" s="392"/>
    </row>
    <row r="28" spans="1:9" ht="12.75">
      <c r="A28" s="390"/>
      <c r="B28" s="391"/>
      <c r="C28" s="391"/>
      <c r="D28" s="391"/>
      <c r="E28" s="391"/>
      <c r="F28" s="391"/>
      <c r="G28" s="391"/>
      <c r="H28" s="391"/>
      <c r="I28" s="392"/>
    </row>
    <row r="29" spans="1:9" ht="12.75">
      <c r="A29" s="390"/>
      <c r="B29" s="391"/>
      <c r="C29" s="391"/>
      <c r="D29" s="391"/>
      <c r="E29" s="391"/>
      <c r="F29" s="391"/>
      <c r="G29" s="391"/>
      <c r="H29" s="391"/>
      <c r="I29" s="392"/>
    </row>
    <row r="30" spans="1:9" ht="12.75">
      <c r="A30" s="390"/>
      <c r="B30" s="391"/>
      <c r="C30" s="391"/>
      <c r="D30" s="391"/>
      <c r="E30" s="391"/>
      <c r="F30" s="391"/>
      <c r="G30" s="391"/>
      <c r="H30" s="391"/>
      <c r="I30" s="392"/>
    </row>
    <row r="31" spans="1:9" ht="12.75">
      <c r="A31" s="390"/>
      <c r="B31" s="391"/>
      <c r="C31" s="391"/>
      <c r="D31" s="391"/>
      <c r="E31" s="391"/>
      <c r="F31" s="391"/>
      <c r="G31" s="391"/>
      <c r="H31" s="391"/>
      <c r="I31" s="392"/>
    </row>
    <row r="32" spans="1:9" ht="12.75">
      <c r="A32" s="390"/>
      <c r="B32" s="391"/>
      <c r="C32" s="391"/>
      <c r="D32" s="391"/>
      <c r="E32" s="391"/>
      <c r="F32" s="391"/>
      <c r="G32" s="391"/>
      <c r="H32" s="391"/>
      <c r="I32" s="392"/>
    </row>
    <row r="33" spans="1:9" ht="12.75">
      <c r="A33" s="390"/>
      <c r="B33" s="391"/>
      <c r="C33" s="391"/>
      <c r="D33" s="391"/>
      <c r="E33" s="391"/>
      <c r="F33" s="391"/>
      <c r="G33" s="391"/>
      <c r="H33" s="391"/>
      <c r="I33" s="392"/>
    </row>
    <row r="34" spans="1:9" ht="12.75">
      <c r="A34" s="390"/>
      <c r="B34" s="391"/>
      <c r="C34" s="391"/>
      <c r="D34" s="391"/>
      <c r="E34" s="391"/>
      <c r="F34" s="391"/>
      <c r="G34" s="391"/>
      <c r="H34" s="391"/>
      <c r="I34" s="392"/>
    </row>
    <row r="35" spans="1:9" ht="12.75">
      <c r="A35" s="390"/>
      <c r="B35" s="391"/>
      <c r="C35" s="391"/>
      <c r="D35" s="391"/>
      <c r="E35" s="391"/>
      <c r="F35" s="391"/>
      <c r="G35" s="391"/>
      <c r="H35" s="391"/>
      <c r="I35" s="392"/>
    </row>
    <row r="36" spans="1:9" ht="12.75">
      <c r="A36" s="390"/>
      <c r="B36" s="391"/>
      <c r="C36" s="391"/>
      <c r="D36" s="391"/>
      <c r="E36" s="391"/>
      <c r="F36" s="391"/>
      <c r="G36" s="391"/>
      <c r="H36" s="391"/>
      <c r="I36" s="392"/>
    </row>
    <row r="37" spans="1:9" ht="12.75">
      <c r="A37" s="390"/>
      <c r="B37" s="391"/>
      <c r="C37" s="391"/>
      <c r="D37" s="391"/>
      <c r="E37" s="391"/>
      <c r="F37" s="391"/>
      <c r="G37" s="391"/>
      <c r="H37" s="391"/>
      <c r="I37" s="392"/>
    </row>
    <row r="38" spans="1:9" ht="12.75">
      <c r="A38" s="390"/>
      <c r="B38" s="391"/>
      <c r="C38" s="391"/>
      <c r="D38" s="391"/>
      <c r="E38" s="391"/>
      <c r="F38" s="391"/>
      <c r="G38" s="391"/>
      <c r="H38" s="391"/>
      <c r="I38" s="392"/>
    </row>
    <row r="39" spans="1:9" ht="9" customHeight="1">
      <c r="A39" s="390"/>
      <c r="B39" s="391"/>
      <c r="C39" s="391"/>
      <c r="D39" s="391"/>
      <c r="E39" s="391"/>
      <c r="F39" s="391"/>
      <c r="G39" s="391"/>
      <c r="H39" s="391"/>
      <c r="I39" s="392"/>
    </row>
    <row r="40" spans="1:9" ht="1.5" customHeight="1" hidden="1">
      <c r="A40" s="390"/>
      <c r="B40" s="391"/>
      <c r="C40" s="391"/>
      <c r="D40" s="391"/>
      <c r="E40" s="391"/>
      <c r="F40" s="391"/>
      <c r="G40" s="391"/>
      <c r="H40" s="391"/>
      <c r="I40" s="392"/>
    </row>
    <row r="41" spans="1:9" ht="40.5" customHeight="1">
      <c r="A41" s="417" t="s">
        <v>5</v>
      </c>
      <c r="B41" s="418"/>
      <c r="C41" s="418"/>
      <c r="D41" s="418"/>
      <c r="E41" s="418"/>
      <c r="F41" s="418"/>
      <c r="G41" s="418"/>
      <c r="H41" s="418"/>
      <c r="I41" s="419"/>
    </row>
    <row r="42" spans="1:9" ht="12.75">
      <c r="A42" s="390"/>
      <c r="B42" s="391"/>
      <c r="C42" s="391"/>
      <c r="D42" s="391"/>
      <c r="E42" s="391"/>
      <c r="F42" s="391"/>
      <c r="G42" s="391"/>
      <c r="H42" s="391"/>
      <c r="I42" s="392"/>
    </row>
    <row r="43" spans="1:9" ht="12.75">
      <c r="A43" s="390"/>
      <c r="B43" s="391"/>
      <c r="C43" s="391"/>
      <c r="D43" s="391"/>
      <c r="E43" s="391"/>
      <c r="F43" s="391"/>
      <c r="G43" s="391"/>
      <c r="H43" s="391"/>
      <c r="I43" s="392"/>
    </row>
    <row r="44" spans="1:9" ht="12.75">
      <c r="A44" s="390"/>
      <c r="B44" s="391"/>
      <c r="C44" s="391"/>
      <c r="D44" s="391"/>
      <c r="E44" s="391"/>
      <c r="F44" s="391"/>
      <c r="G44" s="391"/>
      <c r="H44" s="391"/>
      <c r="I44" s="392"/>
    </row>
    <row r="45" spans="1:9" ht="30.75" customHeight="1" thickBot="1">
      <c r="A45" s="420" t="s">
        <v>7</v>
      </c>
      <c r="B45" s="421"/>
      <c r="C45" s="421"/>
      <c r="D45" s="421"/>
      <c r="E45" s="421"/>
      <c r="F45" s="421"/>
      <c r="G45" s="421"/>
      <c r="H45" s="421"/>
      <c r="I45" s="422"/>
    </row>
    <row r="46" spans="1:9" ht="30.75" customHeight="1" thickTop="1">
      <c r="A46" s="412"/>
      <c r="B46" s="413"/>
      <c r="C46" s="413"/>
      <c r="D46" s="413"/>
      <c r="E46" s="413"/>
      <c r="F46" s="413"/>
      <c r="G46" s="413"/>
      <c r="H46" s="413"/>
      <c r="I46" s="413"/>
    </row>
    <row r="47" spans="1:9" ht="30.75" customHeight="1">
      <c r="A47" s="412"/>
      <c r="B47" s="413"/>
      <c r="C47" s="413"/>
      <c r="D47" s="413"/>
      <c r="E47" s="413"/>
      <c r="F47" s="413"/>
      <c r="G47" s="413"/>
      <c r="H47" s="413"/>
      <c r="I47" s="413"/>
    </row>
  </sheetData>
  <mergeCells count="10">
    <mergeCell ref="A1:I1"/>
    <mergeCell ref="A2:I2"/>
    <mergeCell ref="A3:I3"/>
    <mergeCell ref="A21:I21"/>
    <mergeCell ref="A4:I4"/>
    <mergeCell ref="A47:I47"/>
    <mergeCell ref="A23:I23"/>
    <mergeCell ref="A41:I41"/>
    <mergeCell ref="A45:I45"/>
    <mergeCell ref="A46:I46"/>
  </mergeCells>
  <printOptions/>
  <pageMargins left="1.05" right="0.61" top="1" bottom="1" header="0.5" footer="0.5"/>
  <pageSetup horizontalDpi="300" verticalDpi="300" orientation="portrait" paperSize="9" r:id="rId4"/>
  <drawing r:id="rId3"/>
  <legacyDrawing r:id="rId2"/>
  <oleObjects>
    <oleObject progId="PBrush" shapeId="1591588" r:id="rId1"/>
  </oleObjects>
</worksheet>
</file>

<file path=xl/worksheets/sheet10.xml><?xml version="1.0" encoding="utf-8"?>
<worksheet xmlns="http://schemas.openxmlformats.org/spreadsheetml/2006/main" xmlns:r="http://schemas.openxmlformats.org/officeDocument/2006/relationships">
  <sheetPr>
    <tabColor indexed="12"/>
  </sheetPr>
  <dimension ref="A1:P20"/>
  <sheetViews>
    <sheetView showGridLines="0" workbookViewId="0" topLeftCell="A10">
      <selection activeCell="A10" sqref="A1:IV16384"/>
    </sheetView>
  </sheetViews>
  <sheetFormatPr defaultColWidth="9.00390625" defaultRowHeight="12.75"/>
  <cols>
    <col min="1" max="1" width="9.125" style="1" customWidth="1"/>
    <col min="2" max="2" width="12.375" style="1" customWidth="1"/>
    <col min="3" max="3" width="12.375" style="1" bestFit="1" customWidth="1"/>
    <col min="4" max="4" width="15.75390625" style="1" customWidth="1"/>
    <col min="5" max="5" width="13.125" style="1" customWidth="1"/>
    <col min="6" max="6" width="13.75390625" style="1" customWidth="1"/>
    <col min="7" max="7" width="11.125" style="1" customWidth="1"/>
    <col min="8" max="9" width="9.125" style="1" customWidth="1"/>
    <col min="10" max="10" width="12.125" style="7" customWidth="1"/>
    <col min="11" max="11" width="11.125" style="7" bestFit="1" customWidth="1"/>
    <col min="12" max="16384" width="9.125" style="1" customWidth="1"/>
  </cols>
  <sheetData>
    <row r="1" spans="1:7" ht="33" customHeight="1">
      <c r="A1" s="496" t="s">
        <v>458</v>
      </c>
      <c r="B1" s="483"/>
      <c r="C1" s="483"/>
      <c r="D1" s="483"/>
      <c r="E1" s="483"/>
      <c r="F1" s="483"/>
      <c r="G1" s="483"/>
    </row>
    <row r="2" spans="1:7" ht="28.5" customHeight="1">
      <c r="A2" s="497" t="s">
        <v>76</v>
      </c>
      <c r="B2" s="498"/>
      <c r="C2" s="498"/>
      <c r="D2" s="498"/>
      <c r="E2" s="498"/>
      <c r="F2" s="498"/>
      <c r="G2" s="498"/>
    </row>
    <row r="3" spans="1:10" ht="26.25" customHeight="1" thickBot="1">
      <c r="A3" s="12" t="s">
        <v>77</v>
      </c>
      <c r="B3" s="8"/>
      <c r="C3" s="8"/>
      <c r="D3" s="8"/>
      <c r="E3" s="8"/>
      <c r="J3" s="7" t="s">
        <v>73</v>
      </c>
    </row>
    <row r="4" spans="1:12" ht="55.5" customHeight="1" thickTop="1">
      <c r="A4" s="143" t="s">
        <v>66</v>
      </c>
      <c r="B4" s="144" t="s">
        <v>69</v>
      </c>
      <c r="C4" s="144" t="s">
        <v>67</v>
      </c>
      <c r="D4" s="144" t="s">
        <v>68</v>
      </c>
      <c r="E4" s="144" t="s">
        <v>31</v>
      </c>
      <c r="F4" s="145" t="s">
        <v>70</v>
      </c>
      <c r="G4" s="146" t="s">
        <v>71</v>
      </c>
      <c r="J4" s="9" t="s">
        <v>74</v>
      </c>
      <c r="K4" s="7" t="s">
        <v>72</v>
      </c>
      <c r="L4" s="10"/>
    </row>
    <row r="5" spans="1:12" ht="21.75" customHeight="1">
      <c r="A5" s="147">
        <v>1999</v>
      </c>
      <c r="B5" s="148">
        <v>1111000</v>
      </c>
      <c r="C5" s="148">
        <v>796145</v>
      </c>
      <c r="D5" s="148">
        <v>1035000</v>
      </c>
      <c r="E5" s="149">
        <f aca="true" t="shared" si="0" ref="E5:E10">SUM(B5:D5)</f>
        <v>2942145</v>
      </c>
      <c r="F5" s="150">
        <f aca="true" t="shared" si="1" ref="F5:F11">+(E5/J5)*100</f>
        <v>10.47597649751101</v>
      </c>
      <c r="G5" s="151">
        <f aca="true" t="shared" si="2" ref="G5:G10">+(E5/K5)*100</f>
        <v>3.7583463079522774</v>
      </c>
      <c r="J5" s="7">
        <v>28084685</v>
      </c>
      <c r="K5" s="7">
        <v>78282967</v>
      </c>
      <c r="L5" s="10"/>
    </row>
    <row r="6" spans="1:12" ht="21.75" customHeight="1">
      <c r="A6" s="147">
        <f>+A5+1</f>
        <v>2000</v>
      </c>
      <c r="B6" s="148">
        <v>400000</v>
      </c>
      <c r="C6" s="148">
        <v>1051460</v>
      </c>
      <c r="D6" s="148">
        <v>1775000</v>
      </c>
      <c r="E6" s="149">
        <f t="shared" si="0"/>
        <v>3226460</v>
      </c>
      <c r="F6" s="150">
        <f t="shared" si="1"/>
        <v>6.908164148836395</v>
      </c>
      <c r="G6" s="151">
        <f t="shared" si="2"/>
        <v>2.5689167537958117</v>
      </c>
      <c r="J6" s="7">
        <v>46705028</v>
      </c>
      <c r="K6" s="7">
        <v>125596129</v>
      </c>
      <c r="L6" s="10"/>
    </row>
    <row r="7" spans="1:12" ht="21.75" customHeight="1">
      <c r="A7" s="147">
        <f>+A6+1</f>
        <v>2001</v>
      </c>
      <c r="B7" s="148">
        <v>1108000</v>
      </c>
      <c r="C7" s="148">
        <v>1740000</v>
      </c>
      <c r="D7" s="148">
        <v>2675000</v>
      </c>
      <c r="E7" s="149">
        <f t="shared" si="0"/>
        <v>5523000</v>
      </c>
      <c r="F7" s="150">
        <f t="shared" si="1"/>
        <v>6.854137610060381</v>
      </c>
      <c r="G7" s="151">
        <f t="shared" si="2"/>
        <v>3.1294629942927448</v>
      </c>
      <c r="J7" s="7">
        <v>80579065</v>
      </c>
      <c r="K7" s="7">
        <v>176483953</v>
      </c>
      <c r="L7" s="10"/>
    </row>
    <row r="8" spans="1:12" ht="21.75" customHeight="1">
      <c r="A8" s="147">
        <f>+A7+1</f>
        <v>2002</v>
      </c>
      <c r="B8" s="148">
        <v>2386000</v>
      </c>
      <c r="C8" s="148">
        <v>2622000</v>
      </c>
      <c r="D8" s="148">
        <v>4676000</v>
      </c>
      <c r="E8" s="149">
        <f t="shared" si="0"/>
        <v>9684000</v>
      </c>
      <c r="F8" s="150">
        <f t="shared" si="1"/>
        <v>8.371199236530034</v>
      </c>
      <c r="G8" s="151">
        <f t="shared" si="2"/>
        <v>3.5210401382359486</v>
      </c>
      <c r="J8" s="7">
        <v>115682350</v>
      </c>
      <c r="K8" s="7">
        <v>275032366</v>
      </c>
      <c r="L8" s="10"/>
    </row>
    <row r="9" spans="1:12" ht="17.25" customHeight="1">
      <c r="A9" s="147">
        <f>+A8+1</f>
        <v>2003</v>
      </c>
      <c r="B9" s="148">
        <v>4808617</v>
      </c>
      <c r="C9" s="148">
        <v>4930000</v>
      </c>
      <c r="D9" s="148">
        <v>6145000</v>
      </c>
      <c r="E9" s="149">
        <f t="shared" si="0"/>
        <v>15883617</v>
      </c>
      <c r="F9" s="150">
        <f t="shared" si="1"/>
        <v>11.341067841548895</v>
      </c>
      <c r="G9" s="151">
        <f t="shared" si="2"/>
        <v>4.4531729998384435</v>
      </c>
      <c r="J9" s="7">
        <v>140053981</v>
      </c>
      <c r="K9" s="7">
        <v>356680888</v>
      </c>
      <c r="L9" s="10"/>
    </row>
    <row r="10" spans="1:12" ht="17.25" customHeight="1">
      <c r="A10" s="147">
        <v>2004</v>
      </c>
      <c r="B10" s="148">
        <v>5757000</v>
      </c>
      <c r="C10" s="148">
        <v>5273000</v>
      </c>
      <c r="D10" s="148">
        <v>7800000</v>
      </c>
      <c r="E10" s="149">
        <f t="shared" si="0"/>
        <v>18830000</v>
      </c>
      <c r="F10" s="150">
        <f t="shared" si="1"/>
        <v>12.374323889088993</v>
      </c>
      <c r="G10" s="151">
        <f t="shared" si="2"/>
        <v>4.389973235850904</v>
      </c>
      <c r="J10" s="7">
        <v>152169930</v>
      </c>
      <c r="K10" s="7">
        <v>428932000</v>
      </c>
      <c r="L10" s="10"/>
    </row>
    <row r="11" spans="1:12" ht="17.25" customHeight="1" thickBot="1">
      <c r="A11" s="152" t="s">
        <v>75</v>
      </c>
      <c r="B11" s="153">
        <v>7507267</v>
      </c>
      <c r="C11" s="153">
        <v>6926000</v>
      </c>
      <c r="D11" s="153">
        <v>8889300</v>
      </c>
      <c r="E11" s="154">
        <f>SUM(B11:D11)</f>
        <v>23322567</v>
      </c>
      <c r="F11" s="155">
        <f t="shared" si="1"/>
        <v>14.735098781265993</v>
      </c>
      <c r="G11" s="156">
        <f>+(E11/K11)*100</f>
        <v>4.808201699590564</v>
      </c>
      <c r="J11" s="7">
        <v>158279000</v>
      </c>
      <c r="K11" s="7">
        <v>485058000</v>
      </c>
      <c r="L11" s="10"/>
    </row>
    <row r="12" spans="1:16" ht="104.25" customHeight="1" thickTop="1">
      <c r="A12" s="495" t="s">
        <v>477</v>
      </c>
      <c r="B12" s="495"/>
      <c r="C12" s="495"/>
      <c r="D12" s="495"/>
      <c r="E12" s="495"/>
      <c r="F12" s="495"/>
      <c r="G12" s="495"/>
      <c r="H12" s="99"/>
      <c r="I12" s="99"/>
      <c r="J12" s="384"/>
      <c r="K12" s="384" t="s">
        <v>56</v>
      </c>
      <c r="L12" s="99"/>
      <c r="M12" s="99"/>
      <c r="N12" s="99"/>
      <c r="O12" s="99"/>
      <c r="P12" s="99"/>
    </row>
    <row r="13" spans="1:9" ht="40.5" customHeight="1">
      <c r="A13" s="495" t="s">
        <v>493</v>
      </c>
      <c r="B13" s="495"/>
      <c r="C13" s="495"/>
      <c r="D13" s="495"/>
      <c r="E13" s="495"/>
      <c r="F13" s="495"/>
      <c r="G13" s="495"/>
      <c r="H13" s="495"/>
      <c r="I13" s="495"/>
    </row>
    <row r="14" spans="1:9" ht="10.5" customHeight="1">
      <c r="A14" s="11"/>
      <c r="B14" s="11"/>
      <c r="C14" s="11"/>
      <c r="D14" s="11"/>
      <c r="E14" s="11"/>
      <c r="H14" s="11"/>
      <c r="I14" s="11"/>
    </row>
    <row r="15" spans="1:9" ht="12.75">
      <c r="A15" s="11"/>
      <c r="B15" s="11"/>
      <c r="C15" s="11"/>
      <c r="D15" s="11"/>
      <c r="E15" s="11"/>
      <c r="H15" s="11"/>
      <c r="I15" s="11"/>
    </row>
    <row r="16" spans="1:9" ht="12.75">
      <c r="A16" s="11"/>
      <c r="B16" s="11"/>
      <c r="C16" s="11"/>
      <c r="D16" s="11"/>
      <c r="E16" s="11"/>
      <c r="H16" s="11"/>
      <c r="I16" s="11"/>
    </row>
    <row r="17" spans="1:9" ht="12.75">
      <c r="A17" s="11"/>
      <c r="B17" s="11"/>
      <c r="C17" s="11"/>
      <c r="D17" s="11"/>
      <c r="E17" s="11"/>
      <c r="H17" s="11"/>
      <c r="I17" s="11"/>
    </row>
    <row r="18" spans="1:9" ht="12.75">
      <c r="A18" s="11"/>
      <c r="B18" s="11"/>
      <c r="C18" s="11"/>
      <c r="D18" s="11"/>
      <c r="E18" s="11"/>
      <c r="H18" s="11"/>
      <c r="I18" s="11"/>
    </row>
    <row r="19" spans="1:9" ht="12.75">
      <c r="A19" s="11"/>
      <c r="B19" s="11"/>
      <c r="C19" s="11"/>
      <c r="D19" s="11"/>
      <c r="E19" s="11"/>
      <c r="H19" s="11"/>
      <c r="I19" s="11"/>
    </row>
    <row r="20" spans="1:9" ht="12.75">
      <c r="A20" s="11"/>
      <c r="B20" s="11"/>
      <c r="C20" s="11"/>
      <c r="D20" s="11"/>
      <c r="E20" s="11"/>
      <c r="H20" s="11"/>
      <c r="I20" s="11"/>
    </row>
  </sheetData>
  <mergeCells count="5">
    <mergeCell ref="H13:I13"/>
    <mergeCell ref="A1:G1"/>
    <mergeCell ref="A2:G2"/>
    <mergeCell ref="A12:G12"/>
    <mergeCell ref="A13:G13"/>
  </mergeCells>
  <printOptions/>
  <pageMargins left="0.75" right="0.75" top="0.58" bottom="0.51" header="0.5" footer="0.5"/>
  <pageSetup horizontalDpi="300" verticalDpi="300" orientation="portrait" paperSize="9" r:id="rId2"/>
  <headerFooter alignWithMargins="0">
    <oddFooter>&amp;C9</oddFooter>
  </headerFooter>
  <ignoredErrors>
    <ignoredError sqref="E5 E10" formulaRange="1"/>
  </ignoredErrors>
  <drawing r:id="rId1"/>
</worksheet>
</file>

<file path=xl/worksheets/sheet11.xml><?xml version="1.0" encoding="utf-8"?>
<worksheet xmlns="http://schemas.openxmlformats.org/spreadsheetml/2006/main" xmlns:r="http://schemas.openxmlformats.org/officeDocument/2006/relationships">
  <sheetPr>
    <tabColor indexed="12"/>
  </sheetPr>
  <dimension ref="A1:N21"/>
  <sheetViews>
    <sheetView showGridLines="0" workbookViewId="0" topLeftCell="A10">
      <selection activeCell="A21" sqref="A21:H21"/>
    </sheetView>
  </sheetViews>
  <sheetFormatPr defaultColWidth="9.00390625" defaultRowHeight="12.75"/>
  <cols>
    <col min="1" max="1" width="11.25390625" style="1" customWidth="1"/>
    <col min="2" max="2" width="11.00390625" style="1" customWidth="1"/>
    <col min="3" max="3" width="11.125" style="1" customWidth="1"/>
    <col min="4" max="4" width="9.875" style="1" customWidth="1"/>
    <col min="5" max="5" width="13.125" style="1" customWidth="1"/>
    <col min="6" max="6" width="8.75390625" style="1" customWidth="1"/>
    <col min="7" max="7" width="12.75390625" style="1" customWidth="1"/>
    <col min="8" max="8" width="12.00390625" style="1" customWidth="1"/>
    <col min="9" max="10" width="9.125" style="1" customWidth="1"/>
    <col min="11" max="11" width="12.375" style="1" customWidth="1"/>
    <col min="12" max="12" width="12.25390625" style="1" customWidth="1"/>
    <col min="13" max="13" width="14.00390625" style="1" customWidth="1"/>
    <col min="14" max="16384" width="9.125" style="1" customWidth="1"/>
  </cols>
  <sheetData>
    <row r="1" spans="1:8" s="4" customFormat="1" ht="20.25" customHeight="1">
      <c r="A1" s="499" t="s">
        <v>105</v>
      </c>
      <c r="B1" s="500"/>
      <c r="C1" s="500"/>
      <c r="D1" s="500"/>
      <c r="E1" s="500"/>
      <c r="F1" s="500"/>
      <c r="G1" s="500"/>
      <c r="H1" s="500"/>
    </row>
    <row r="2" spans="1:8" s="4" customFormat="1" ht="15">
      <c r="A2" s="501" t="s">
        <v>108</v>
      </c>
      <c r="B2" s="502"/>
      <c r="C2" s="502"/>
      <c r="D2" s="502"/>
      <c r="E2" s="502"/>
      <c r="F2" s="502"/>
      <c r="G2" s="502"/>
      <c r="H2" s="502"/>
    </row>
    <row r="3" spans="1:8" s="4" customFormat="1" ht="15">
      <c r="A3" s="13"/>
      <c r="B3" s="15"/>
      <c r="C3" s="15"/>
      <c r="D3" s="15"/>
      <c r="E3" s="15"/>
      <c r="F3" s="15"/>
      <c r="G3" s="15"/>
      <c r="H3" s="15"/>
    </row>
    <row r="4" spans="1:2" s="14" customFormat="1" ht="16.5" thickBot="1">
      <c r="A4" s="16" t="s">
        <v>116</v>
      </c>
      <c r="B4" s="16"/>
    </row>
    <row r="5" spans="1:14" ht="29.25" customHeight="1" thickTop="1">
      <c r="A5" s="157"/>
      <c r="B5" s="507" t="s">
        <v>111</v>
      </c>
      <c r="C5" s="508"/>
      <c r="D5" s="158"/>
      <c r="E5" s="486" t="s">
        <v>114</v>
      </c>
      <c r="F5" s="486" t="s">
        <v>99</v>
      </c>
      <c r="G5" s="509" t="s">
        <v>104</v>
      </c>
      <c r="H5" s="510"/>
      <c r="I5" s="10"/>
      <c r="J5" s="10"/>
      <c r="K5" s="10"/>
      <c r="L5" s="10"/>
      <c r="M5" s="10"/>
      <c r="N5" s="10"/>
    </row>
    <row r="6" spans="1:14" ht="61.5" customHeight="1">
      <c r="A6" s="159" t="s">
        <v>66</v>
      </c>
      <c r="B6" s="160" t="s">
        <v>102</v>
      </c>
      <c r="C6" s="160" t="s">
        <v>103</v>
      </c>
      <c r="D6" s="161" t="s">
        <v>113</v>
      </c>
      <c r="E6" s="506"/>
      <c r="F6" s="506"/>
      <c r="G6" s="162" t="s">
        <v>112</v>
      </c>
      <c r="H6" s="163" t="s">
        <v>101</v>
      </c>
      <c r="I6" s="10"/>
      <c r="J6" s="17"/>
      <c r="K6" s="18" t="s">
        <v>102</v>
      </c>
      <c r="L6" s="18" t="s">
        <v>103</v>
      </c>
      <c r="M6" s="18" t="s">
        <v>113</v>
      </c>
      <c r="N6" s="10"/>
    </row>
    <row r="7" spans="1:14" ht="18" customHeight="1">
      <c r="A7" s="164">
        <v>1993</v>
      </c>
      <c r="B7" s="165">
        <v>57.5</v>
      </c>
      <c r="C7" s="165">
        <v>42.8</v>
      </c>
      <c r="D7" s="166">
        <f>+(C7/B7)*100</f>
        <v>74.43478260869566</v>
      </c>
      <c r="E7" s="165">
        <v>42.4</v>
      </c>
      <c r="F7" s="166"/>
      <c r="G7" s="167" t="s">
        <v>100</v>
      </c>
      <c r="H7" s="168" t="s">
        <v>100</v>
      </c>
      <c r="I7" s="10"/>
      <c r="J7" s="19">
        <v>1993</v>
      </c>
      <c r="K7" s="20">
        <v>57.5</v>
      </c>
      <c r="L7" s="20">
        <v>42.8</v>
      </c>
      <c r="M7" s="21">
        <f>+(L7/K7)*100</f>
        <v>74.43478260869566</v>
      </c>
      <c r="N7" s="10"/>
    </row>
    <row r="8" spans="1:14" ht="18" customHeight="1">
      <c r="A8" s="164">
        <f aca="true" t="shared" si="0" ref="A8:A15">+A7+1</f>
        <v>1994</v>
      </c>
      <c r="B8" s="165">
        <v>84.1</v>
      </c>
      <c r="C8" s="165">
        <v>60.6</v>
      </c>
      <c r="D8" s="166">
        <f aca="true" t="shared" si="1" ref="D8:D16">+(C8/B8)*100</f>
        <v>72.05707491082046</v>
      </c>
      <c r="E8" s="165">
        <v>80.3</v>
      </c>
      <c r="F8" s="169">
        <f>+(E8/E7-1)*100</f>
        <v>89.38679245283019</v>
      </c>
      <c r="G8" s="170">
        <v>14480</v>
      </c>
      <c r="H8" s="171">
        <v>425.6</v>
      </c>
      <c r="I8" s="10"/>
      <c r="J8" s="19">
        <f aca="true" t="shared" si="2" ref="J8:J15">+J7+1</f>
        <v>1994</v>
      </c>
      <c r="K8" s="20">
        <v>84.1</v>
      </c>
      <c r="L8" s="20">
        <v>60.6</v>
      </c>
      <c r="M8" s="21">
        <f aca="true" t="shared" si="3" ref="M8:M16">+(L8/K8)*100</f>
        <v>72.05707491082046</v>
      </c>
      <c r="N8" s="10"/>
    </row>
    <row r="9" spans="1:14" ht="18" customHeight="1">
      <c r="A9" s="164">
        <f t="shared" si="0"/>
        <v>1995</v>
      </c>
      <c r="B9" s="165">
        <v>125.5</v>
      </c>
      <c r="C9" s="165">
        <v>102.1</v>
      </c>
      <c r="D9" s="166">
        <f t="shared" si="1"/>
        <v>81.35458167330677</v>
      </c>
      <c r="E9" s="165">
        <v>156.4</v>
      </c>
      <c r="F9" s="169">
        <f aca="true" t="shared" si="4" ref="F9:F16">+(E9/E8-1)*100</f>
        <v>94.76961394769616</v>
      </c>
      <c r="G9" s="170">
        <v>59200</v>
      </c>
      <c r="H9" s="171">
        <v>1194.1</v>
      </c>
      <c r="I9" s="10"/>
      <c r="J9" s="19">
        <f t="shared" si="2"/>
        <v>1995</v>
      </c>
      <c r="K9" s="20">
        <v>125.5</v>
      </c>
      <c r="L9" s="20">
        <v>102.1</v>
      </c>
      <c r="M9" s="21">
        <f t="shared" si="3"/>
        <v>81.35458167330677</v>
      </c>
      <c r="N9" s="10"/>
    </row>
    <row r="10" spans="1:14" ht="18" customHeight="1">
      <c r="A10" s="164">
        <f t="shared" si="0"/>
        <v>1996</v>
      </c>
      <c r="B10" s="165">
        <v>300.2</v>
      </c>
      <c r="C10" s="165">
        <v>256</v>
      </c>
      <c r="D10" s="166">
        <f t="shared" si="1"/>
        <v>85.27648234510326</v>
      </c>
      <c r="E10" s="165">
        <v>343.6</v>
      </c>
      <c r="F10" s="169">
        <f t="shared" si="4"/>
        <v>119.69309462915602</v>
      </c>
      <c r="G10" s="170">
        <v>69739</v>
      </c>
      <c r="H10" s="171">
        <v>862.6</v>
      </c>
      <c r="I10" s="10"/>
      <c r="J10" s="19">
        <f t="shared" si="2"/>
        <v>1996</v>
      </c>
      <c r="K10" s="20">
        <v>300.2</v>
      </c>
      <c r="L10" s="20">
        <v>256</v>
      </c>
      <c r="M10" s="21">
        <f t="shared" si="3"/>
        <v>85.27648234510326</v>
      </c>
      <c r="N10" s="10"/>
    </row>
    <row r="11" spans="1:14" ht="18" customHeight="1">
      <c r="A11" s="164">
        <f t="shared" si="0"/>
        <v>1997</v>
      </c>
      <c r="B11" s="165">
        <v>715.8</v>
      </c>
      <c r="C11" s="165">
        <v>611.6</v>
      </c>
      <c r="D11" s="166">
        <f t="shared" si="1"/>
        <v>85.44286113439509</v>
      </c>
      <c r="E11" s="165">
        <v>762.3</v>
      </c>
      <c r="F11" s="169">
        <f t="shared" si="4"/>
        <v>121.85681024447028</v>
      </c>
      <c r="G11" s="170">
        <v>336000</v>
      </c>
      <c r="H11" s="171">
        <v>2221.4</v>
      </c>
      <c r="I11" s="10"/>
      <c r="J11" s="19">
        <f t="shared" si="2"/>
        <v>1997</v>
      </c>
      <c r="K11" s="20">
        <v>715.8</v>
      </c>
      <c r="L11" s="20">
        <v>611.6</v>
      </c>
      <c r="M11" s="21">
        <f t="shared" si="3"/>
        <v>85.44286113439509</v>
      </c>
      <c r="N11" s="10"/>
    </row>
    <row r="12" spans="1:14" ht="18" customHeight="1">
      <c r="A12" s="164">
        <f t="shared" si="0"/>
        <v>1998</v>
      </c>
      <c r="B12" s="165">
        <v>1421.4</v>
      </c>
      <c r="C12" s="165">
        <v>1201.4</v>
      </c>
      <c r="D12" s="166">
        <f t="shared" si="1"/>
        <v>84.52230195581821</v>
      </c>
      <c r="E12" s="165">
        <v>1477.6</v>
      </c>
      <c r="F12" s="169">
        <f t="shared" si="4"/>
        <v>93.83444837990294</v>
      </c>
      <c r="G12" s="170">
        <v>447000</v>
      </c>
      <c r="H12" s="171">
        <v>1692.3</v>
      </c>
      <c r="I12" s="10"/>
      <c r="J12" s="19">
        <f t="shared" si="2"/>
        <v>1998</v>
      </c>
      <c r="K12" s="20">
        <v>1421.4</v>
      </c>
      <c r="L12" s="20">
        <v>1201.4</v>
      </c>
      <c r="M12" s="21">
        <f t="shared" si="3"/>
        <v>84.52230195581821</v>
      </c>
      <c r="N12" s="10"/>
    </row>
    <row r="13" spans="1:14" ht="18" customHeight="1">
      <c r="A13" s="164">
        <f t="shared" si="0"/>
        <v>1999</v>
      </c>
      <c r="B13" s="165">
        <v>2514.5</v>
      </c>
      <c r="C13" s="165">
        <v>1989.2</v>
      </c>
      <c r="D13" s="166">
        <f t="shared" si="1"/>
        <v>79.10916683237225</v>
      </c>
      <c r="E13" s="165">
        <v>2555.8</v>
      </c>
      <c r="F13" s="169">
        <f t="shared" si="4"/>
        <v>72.96968056307529</v>
      </c>
      <c r="G13" s="170">
        <v>1111000</v>
      </c>
      <c r="H13" s="171">
        <v>2662.1</v>
      </c>
      <c r="I13" s="10"/>
      <c r="J13" s="19">
        <f t="shared" si="2"/>
        <v>1999</v>
      </c>
      <c r="K13" s="20">
        <v>2514.5</v>
      </c>
      <c r="L13" s="20">
        <v>1989.2</v>
      </c>
      <c r="M13" s="21">
        <f t="shared" si="3"/>
        <v>79.10916683237225</v>
      </c>
      <c r="N13" s="10"/>
    </row>
    <row r="14" spans="1:14" ht="18" customHeight="1">
      <c r="A14" s="164">
        <f t="shared" si="0"/>
        <v>2000</v>
      </c>
      <c r="B14" s="165">
        <v>5002.9</v>
      </c>
      <c r="C14" s="165">
        <v>4221</v>
      </c>
      <c r="D14" s="166">
        <f t="shared" si="1"/>
        <v>84.3710647824262</v>
      </c>
      <c r="E14" s="165">
        <v>3574.6</v>
      </c>
      <c r="F14" s="169">
        <f t="shared" si="4"/>
        <v>39.862274043352365</v>
      </c>
      <c r="G14" s="170">
        <v>400000</v>
      </c>
      <c r="H14" s="171">
        <v>687.5</v>
      </c>
      <c r="I14" s="10"/>
      <c r="J14" s="19">
        <f t="shared" si="2"/>
        <v>2000</v>
      </c>
      <c r="K14" s="20">
        <v>5002.9</v>
      </c>
      <c r="L14" s="20">
        <v>4221</v>
      </c>
      <c r="M14" s="21">
        <f t="shared" si="3"/>
        <v>84.3710647824262</v>
      </c>
      <c r="N14" s="10"/>
    </row>
    <row r="15" spans="1:14" ht="18" customHeight="1">
      <c r="A15" s="164">
        <f t="shared" si="0"/>
        <v>2001</v>
      </c>
      <c r="B15" s="165">
        <v>7328.9</v>
      </c>
      <c r="C15" s="165">
        <v>5985.3</v>
      </c>
      <c r="D15" s="166">
        <f t="shared" si="1"/>
        <v>81.66709874606013</v>
      </c>
      <c r="E15" s="165">
        <v>5708.3</v>
      </c>
      <c r="F15" s="169">
        <f t="shared" si="4"/>
        <v>59.69059475186036</v>
      </c>
      <c r="G15" s="170">
        <v>1108000</v>
      </c>
      <c r="H15" s="171">
        <v>806</v>
      </c>
      <c r="I15" s="10"/>
      <c r="J15" s="19">
        <f t="shared" si="2"/>
        <v>2001</v>
      </c>
      <c r="K15" s="20">
        <v>7328.9</v>
      </c>
      <c r="L15" s="20">
        <v>5985.3</v>
      </c>
      <c r="M15" s="21">
        <f t="shared" si="3"/>
        <v>81.66709874606013</v>
      </c>
      <c r="N15" s="10"/>
    </row>
    <row r="16" spans="1:14" ht="18" customHeight="1">
      <c r="A16" s="164">
        <v>2002</v>
      </c>
      <c r="B16" s="165">
        <v>10869.9</v>
      </c>
      <c r="C16" s="165">
        <v>8941.2</v>
      </c>
      <c r="D16" s="166">
        <f t="shared" si="1"/>
        <v>82.25650649959982</v>
      </c>
      <c r="E16" s="165">
        <v>8953.9</v>
      </c>
      <c r="F16" s="169">
        <f t="shared" si="4"/>
        <v>56.85755829231118</v>
      </c>
      <c r="G16" s="170">
        <v>2386000</v>
      </c>
      <c r="H16" s="171">
        <v>1614</v>
      </c>
      <c r="I16" s="10"/>
      <c r="J16" s="19">
        <v>2002</v>
      </c>
      <c r="K16" s="20">
        <v>10869.9</v>
      </c>
      <c r="L16" s="20">
        <v>8941.2</v>
      </c>
      <c r="M16" s="21">
        <f t="shared" si="3"/>
        <v>82.25650649959982</v>
      </c>
      <c r="N16" s="10"/>
    </row>
    <row r="17" spans="1:14" ht="18" customHeight="1" hidden="1">
      <c r="A17" s="164">
        <v>2002</v>
      </c>
      <c r="B17" s="165">
        <v>10869.9</v>
      </c>
      <c r="C17" s="165">
        <v>8941.2</v>
      </c>
      <c r="D17" s="166">
        <f>+(C17/B17)*100</f>
        <v>82.25650649959982</v>
      </c>
      <c r="E17" s="165">
        <v>8954.9</v>
      </c>
      <c r="F17" s="169">
        <f>+(E17/E16-1)*100</f>
        <v>0.011168317716303555</v>
      </c>
      <c r="G17" s="170">
        <v>2386000</v>
      </c>
      <c r="H17" s="171">
        <v>1614</v>
      </c>
      <c r="I17" s="10"/>
      <c r="J17" s="19">
        <v>2002</v>
      </c>
      <c r="K17" s="20">
        <v>10869.9</v>
      </c>
      <c r="L17" s="20">
        <v>8941.2</v>
      </c>
      <c r="M17" s="21">
        <f>+(L17/K17)*100</f>
        <v>82.25650649959982</v>
      </c>
      <c r="N17" s="10"/>
    </row>
    <row r="18" spans="1:14" ht="18" customHeight="1">
      <c r="A18" s="164">
        <v>2003</v>
      </c>
      <c r="B18" s="165">
        <v>15536.8</v>
      </c>
      <c r="C18" s="165">
        <v>12745</v>
      </c>
      <c r="D18" s="166">
        <f>+(C18/B18)*100</f>
        <v>82.03104886463107</v>
      </c>
      <c r="E18" s="165">
        <v>11960.5</v>
      </c>
      <c r="F18" s="169">
        <f>+(E18/E17-1)*100</f>
        <v>33.563747222191196</v>
      </c>
      <c r="G18" s="170">
        <v>3157883.5</v>
      </c>
      <c r="H18" s="171">
        <v>1924.7</v>
      </c>
      <c r="I18" s="10"/>
      <c r="J18" s="19">
        <v>2003</v>
      </c>
      <c r="K18" s="20">
        <v>15536.8</v>
      </c>
      <c r="L18" s="20">
        <v>12745</v>
      </c>
      <c r="M18" s="21">
        <f>+(L18/K18)*100</f>
        <v>82.03104886463107</v>
      </c>
      <c r="N18" s="10"/>
    </row>
    <row r="19" spans="1:14" ht="18" customHeight="1" thickBot="1">
      <c r="A19" s="172">
        <v>2004</v>
      </c>
      <c r="B19" s="173">
        <v>21088.1</v>
      </c>
      <c r="C19" s="173">
        <v>16967.5</v>
      </c>
      <c r="D19" s="174">
        <f>+(C19/B19)*100</f>
        <v>80.46006989724063</v>
      </c>
      <c r="E19" s="173">
        <v>16555.7</v>
      </c>
      <c r="F19" s="175">
        <f>+(E19/E18-1)*100</f>
        <v>38.419798503407044</v>
      </c>
      <c r="G19" s="176">
        <v>5164847.4</v>
      </c>
      <c r="H19" s="177">
        <v>4053.2</v>
      </c>
      <c r="I19" s="10"/>
      <c r="J19" s="19">
        <v>2004</v>
      </c>
      <c r="K19" s="20">
        <v>21088.1</v>
      </c>
      <c r="L19" s="20">
        <v>16967.5</v>
      </c>
      <c r="M19" s="21">
        <f>+(L19/K19)*100</f>
        <v>80.46006989724063</v>
      </c>
      <c r="N19" s="10"/>
    </row>
    <row r="20" spans="1:8" ht="57.75" customHeight="1" thickTop="1">
      <c r="A20" s="503" t="s">
        <v>110</v>
      </c>
      <c r="B20" s="503"/>
      <c r="C20" s="503"/>
      <c r="D20" s="503"/>
      <c r="E20" s="503"/>
      <c r="F20" s="503"/>
      <c r="G20" s="503"/>
      <c r="H20" s="503"/>
    </row>
    <row r="21" spans="1:8" ht="48.75" customHeight="1">
      <c r="A21" s="504" t="s">
        <v>490</v>
      </c>
      <c r="B21" s="505"/>
      <c r="C21" s="505"/>
      <c r="D21" s="505"/>
      <c r="E21" s="505"/>
      <c r="F21" s="505"/>
      <c r="G21" s="505"/>
      <c r="H21" s="505"/>
    </row>
  </sheetData>
  <mergeCells count="8">
    <mergeCell ref="A1:H1"/>
    <mergeCell ref="A2:H2"/>
    <mergeCell ref="A20:H20"/>
    <mergeCell ref="A21:H21"/>
    <mergeCell ref="F5:F6"/>
    <mergeCell ref="E5:E6"/>
    <mergeCell ref="B5:C5"/>
    <mergeCell ref="G5:H5"/>
  </mergeCells>
  <printOptions/>
  <pageMargins left="0.5905511811023623" right="0.7480314960629921" top="0" bottom="0" header="0" footer="0"/>
  <pageSetup horizontalDpi="300" verticalDpi="300" orientation="portrait" paperSize="9" r:id="rId2"/>
  <headerFooter alignWithMargins="0">
    <oddFooter>&amp;C10</oddFooter>
  </headerFooter>
  <drawing r:id="rId1"/>
</worksheet>
</file>

<file path=xl/worksheets/sheet12.xml><?xml version="1.0" encoding="utf-8"?>
<worksheet xmlns="http://schemas.openxmlformats.org/spreadsheetml/2006/main" xmlns:r="http://schemas.openxmlformats.org/officeDocument/2006/relationships">
  <sheetPr>
    <tabColor indexed="12"/>
  </sheetPr>
  <dimension ref="A1:N21"/>
  <sheetViews>
    <sheetView showGridLines="0" tabSelected="1" workbookViewId="0" topLeftCell="A5">
      <selection activeCell="C17" sqref="C17"/>
    </sheetView>
  </sheetViews>
  <sheetFormatPr defaultColWidth="9.00390625" defaultRowHeight="12.75"/>
  <cols>
    <col min="1" max="1" width="15.00390625" style="14" customWidth="1"/>
    <col min="2" max="2" width="13.375" style="14" customWidth="1"/>
    <col min="3" max="3" width="11.875" style="14" customWidth="1"/>
    <col min="4" max="4" width="14.00390625" style="14" customWidth="1"/>
    <col min="5" max="5" width="13.00390625" style="14" customWidth="1"/>
    <col min="6" max="6" width="13.25390625" style="14" customWidth="1"/>
    <col min="7" max="7" width="13.625" style="14" customWidth="1"/>
    <col min="8" max="16384" width="9.125" style="14" customWidth="1"/>
  </cols>
  <sheetData>
    <row r="1" spans="1:7" ht="23.25" customHeight="1">
      <c r="A1" s="511" t="s">
        <v>459</v>
      </c>
      <c r="B1" s="512"/>
      <c r="C1" s="512"/>
      <c r="D1" s="512"/>
      <c r="E1" s="512"/>
      <c r="F1" s="512"/>
      <c r="G1" s="512"/>
    </row>
    <row r="2" spans="1:7" ht="21.75" customHeight="1" thickBot="1">
      <c r="A2" s="513" t="s">
        <v>117</v>
      </c>
      <c r="B2" s="514"/>
      <c r="C2" s="514"/>
      <c r="D2" s="514"/>
      <c r="E2" s="514"/>
      <c r="F2" s="514"/>
      <c r="G2" s="514"/>
    </row>
    <row r="3" spans="1:14" ht="22.5" customHeight="1" thickTop="1">
      <c r="A3" s="522" t="s">
        <v>92</v>
      </c>
      <c r="B3" s="520" t="s">
        <v>118</v>
      </c>
      <c r="C3" s="521"/>
      <c r="D3" s="521"/>
      <c r="E3" s="520" t="s">
        <v>119</v>
      </c>
      <c r="F3" s="521"/>
      <c r="G3" s="524"/>
      <c r="H3" s="22"/>
      <c r="I3" s="22"/>
      <c r="J3" s="23"/>
      <c r="K3" s="23"/>
      <c r="L3" s="23"/>
      <c r="M3" s="23"/>
      <c r="N3" s="23"/>
    </row>
    <row r="4" spans="1:14" s="4" customFormat="1" ht="89.25" customHeight="1">
      <c r="A4" s="523"/>
      <c r="B4" s="162" t="s">
        <v>93</v>
      </c>
      <c r="C4" s="162" t="s">
        <v>94</v>
      </c>
      <c r="D4" s="162" t="s">
        <v>120</v>
      </c>
      <c r="E4" s="162" t="s">
        <v>93</v>
      </c>
      <c r="F4" s="162" t="s">
        <v>94</v>
      </c>
      <c r="G4" s="178" t="s">
        <v>120</v>
      </c>
      <c r="H4" s="24"/>
      <c r="I4" s="24"/>
      <c r="J4" s="24"/>
      <c r="K4" s="24"/>
      <c r="L4" s="24"/>
      <c r="M4" s="24"/>
      <c r="N4" s="24"/>
    </row>
    <row r="5" spans="1:7" s="4" customFormat="1" ht="15">
      <c r="A5" s="179" t="s">
        <v>80</v>
      </c>
      <c r="B5" s="180">
        <v>1508000</v>
      </c>
      <c r="C5" s="180">
        <f>1717731+16924</f>
        <v>1734655</v>
      </c>
      <c r="D5" s="399">
        <f aca="true" t="shared" si="0" ref="D5:D16">+(B5/C5)*100</f>
        <v>86.93371304380409</v>
      </c>
      <c r="E5" s="180">
        <v>1928000</v>
      </c>
      <c r="F5" s="180">
        <f>1927208+18240</f>
        <v>1945448</v>
      </c>
      <c r="G5" s="380">
        <f>+(E5/F5)*100</f>
        <v>99.10313716943347</v>
      </c>
    </row>
    <row r="6" spans="1:7" s="4" customFormat="1" ht="15">
      <c r="A6" s="179" t="s">
        <v>81</v>
      </c>
      <c r="B6" s="180">
        <v>1554100</v>
      </c>
      <c r="C6" s="180">
        <f>1703337+16983</f>
        <v>1720320</v>
      </c>
      <c r="D6" s="399">
        <f t="shared" si="0"/>
        <v>90.33784412202381</v>
      </c>
      <c r="E6" s="180">
        <v>1740000</v>
      </c>
      <c r="F6" s="180">
        <f>1990535+160980+17745</f>
        <v>2169260</v>
      </c>
      <c r="G6" s="380">
        <f>+(E6/F6)*100</f>
        <v>80.21168509076828</v>
      </c>
    </row>
    <row r="7" spans="1:7" s="4" customFormat="1" ht="15">
      <c r="A7" s="179" t="s">
        <v>82</v>
      </c>
      <c r="B7" s="180">
        <v>1685000</v>
      </c>
      <c r="C7" s="180">
        <f>1728320+17054</f>
        <v>1745374</v>
      </c>
      <c r="D7" s="399">
        <f t="shared" si="0"/>
        <v>96.54091329422806</v>
      </c>
      <c r="E7" s="180">
        <v>1948000</v>
      </c>
      <c r="F7" s="180">
        <f>2024957+82736+17883</f>
        <v>2125576</v>
      </c>
      <c r="G7" s="380">
        <f>+(E7/F7)*100</f>
        <v>91.6457468469723</v>
      </c>
    </row>
    <row r="8" spans="1:7" s="4" customFormat="1" ht="15">
      <c r="A8" s="179" t="s">
        <v>95</v>
      </c>
      <c r="B8" s="180">
        <v>1503278</v>
      </c>
      <c r="C8" s="180">
        <f>1720957+17136</f>
        <v>1738093</v>
      </c>
      <c r="D8" s="399">
        <f t="shared" si="0"/>
        <v>86.49007849407367</v>
      </c>
      <c r="E8" s="180"/>
      <c r="F8" s="180"/>
      <c r="G8" s="181"/>
    </row>
    <row r="9" spans="1:7" s="4" customFormat="1" ht="15">
      <c r="A9" s="179" t="s">
        <v>84</v>
      </c>
      <c r="B9" s="180">
        <v>1660000</v>
      </c>
      <c r="C9" s="180">
        <f>1772742+17212</f>
        <v>1789954</v>
      </c>
      <c r="D9" s="399">
        <f t="shared" si="0"/>
        <v>92.73981342537294</v>
      </c>
      <c r="E9" s="180"/>
      <c r="F9" s="180"/>
      <c r="G9" s="181"/>
    </row>
    <row r="10" spans="1:7" s="4" customFormat="1" ht="15">
      <c r="A10" s="179" t="s">
        <v>85</v>
      </c>
      <c r="B10" s="180">
        <v>1657000</v>
      </c>
      <c r="C10" s="180">
        <f>1752780+17266</f>
        <v>1770046</v>
      </c>
      <c r="D10" s="399">
        <f t="shared" si="0"/>
        <v>93.61338631877364</v>
      </c>
      <c r="E10" s="180"/>
      <c r="F10" s="180"/>
      <c r="G10" s="181"/>
    </row>
    <row r="11" spans="1:7" s="4" customFormat="1" ht="15">
      <c r="A11" s="179" t="s">
        <v>86</v>
      </c>
      <c r="B11" s="180">
        <v>1669000</v>
      </c>
      <c r="C11" s="180">
        <f>1861971+17329</f>
        <v>1879300</v>
      </c>
      <c r="D11" s="399">
        <f t="shared" si="0"/>
        <v>88.80966317245783</v>
      </c>
      <c r="E11" s="180"/>
      <c r="F11" s="180"/>
      <c r="G11" s="181"/>
    </row>
    <row r="12" spans="1:7" s="4" customFormat="1" ht="15">
      <c r="A12" s="179" t="s">
        <v>87</v>
      </c>
      <c r="B12" s="180">
        <v>1675000</v>
      </c>
      <c r="C12" s="180">
        <f>1867259+17381</f>
        <v>1884640</v>
      </c>
      <c r="D12" s="399">
        <f t="shared" si="0"/>
        <v>88.87639018592411</v>
      </c>
      <c r="E12" s="180"/>
      <c r="F12" s="180"/>
      <c r="G12" s="181"/>
    </row>
    <row r="13" spans="1:7" s="4" customFormat="1" ht="15">
      <c r="A13" s="179" t="s">
        <v>88</v>
      </c>
      <c r="B13" s="180">
        <v>1703000</v>
      </c>
      <c r="C13" s="180">
        <f>1881506+17852</f>
        <v>1899358</v>
      </c>
      <c r="D13" s="399">
        <f t="shared" si="0"/>
        <v>89.6618752231017</v>
      </c>
      <c r="E13" s="180"/>
      <c r="F13" s="180"/>
      <c r="G13" s="181"/>
    </row>
    <row r="14" spans="1:7" s="4" customFormat="1" ht="15">
      <c r="A14" s="179" t="s">
        <v>89</v>
      </c>
      <c r="B14" s="180">
        <v>1728000</v>
      </c>
      <c r="C14" s="180">
        <f>1902298+18042</f>
        <v>1920340</v>
      </c>
      <c r="D14" s="399">
        <f t="shared" si="0"/>
        <v>89.98406532176594</v>
      </c>
      <c r="E14" s="180"/>
      <c r="F14" s="180"/>
      <c r="G14" s="181"/>
    </row>
    <row r="15" spans="1:7" s="4" customFormat="1" ht="15">
      <c r="A15" s="179" t="s">
        <v>90</v>
      </c>
      <c r="B15" s="180">
        <v>1717000</v>
      </c>
      <c r="C15" s="180">
        <f>1912382+18123</f>
        <v>1930505</v>
      </c>
      <c r="D15" s="399">
        <f t="shared" si="0"/>
        <v>88.94045858467085</v>
      </c>
      <c r="E15" s="180"/>
      <c r="F15" s="180"/>
      <c r="G15" s="181"/>
    </row>
    <row r="16" spans="1:7" s="4" customFormat="1" ht="15">
      <c r="A16" s="179" t="s">
        <v>91</v>
      </c>
      <c r="B16" s="180">
        <v>1806000</v>
      </c>
      <c r="C16" s="180">
        <f>1914210+18124</f>
        <v>1932334</v>
      </c>
      <c r="D16" s="399">
        <f t="shared" si="0"/>
        <v>93.46210334238285</v>
      </c>
      <c r="E16" s="180"/>
      <c r="F16" s="180"/>
      <c r="G16" s="181"/>
    </row>
    <row r="17" spans="1:7" s="4" customFormat="1" ht="15.75" thickBot="1">
      <c r="A17" s="182" t="s">
        <v>96</v>
      </c>
      <c r="B17" s="183">
        <f>SUM(B5:B16)</f>
        <v>19865378</v>
      </c>
      <c r="C17" s="183">
        <f>SUM(C5:C16)</f>
        <v>21944919</v>
      </c>
      <c r="D17" s="400">
        <f>+(B17/C17)*100</f>
        <v>90.52381555839874</v>
      </c>
      <c r="E17" s="183">
        <f>SUM(E5:E16)</f>
        <v>5616000</v>
      </c>
      <c r="F17" s="183">
        <f>SUM(F5:F16)</f>
        <v>6240284</v>
      </c>
      <c r="G17" s="381">
        <f>+(E17/F17)*100</f>
        <v>89.99590403257287</v>
      </c>
    </row>
    <row r="18" spans="1:7" s="4" customFormat="1" ht="49.5" customHeight="1" thickTop="1">
      <c r="A18" s="515" t="s">
        <v>121</v>
      </c>
      <c r="B18" s="516"/>
      <c r="C18" s="516"/>
      <c r="D18" s="516"/>
      <c r="E18" s="516"/>
      <c r="F18" s="516"/>
      <c r="G18" s="517"/>
    </row>
    <row r="19" spans="1:7" s="4" customFormat="1" ht="12.75" customHeight="1">
      <c r="A19" s="518"/>
      <c r="B19" s="519"/>
      <c r="C19" s="519"/>
      <c r="D19" s="519"/>
      <c r="E19" s="519"/>
      <c r="F19" s="25"/>
      <c r="G19" s="26"/>
    </row>
    <row r="20" s="4" customFormat="1" ht="15">
      <c r="A20" s="27" t="s">
        <v>56</v>
      </c>
    </row>
    <row r="21" s="4" customFormat="1" ht="15">
      <c r="G21" s="4" t="s">
        <v>56</v>
      </c>
    </row>
    <row r="22" s="4" customFormat="1" ht="15"/>
    <row r="23" s="4" customFormat="1" ht="15"/>
    <row r="24" s="4" customFormat="1" ht="15"/>
    <row r="25" s="4" customFormat="1" ht="15"/>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sheetData>
  <mergeCells count="7">
    <mergeCell ref="A1:G1"/>
    <mergeCell ref="A2:G2"/>
    <mergeCell ref="A18:G18"/>
    <mergeCell ref="A19:E19"/>
    <mergeCell ref="B3:D3"/>
    <mergeCell ref="A3:A4"/>
    <mergeCell ref="E3:G3"/>
  </mergeCells>
  <printOptions/>
  <pageMargins left="0.7480314960629921" right="0" top="0.984251968503937" bottom="0" header="0" footer="0.5118110236220472"/>
  <pageSetup horizontalDpi="300" verticalDpi="300" orientation="portrait" paperSize="9" scale="95" r:id="rId2"/>
  <headerFooter alignWithMargins="0">
    <oddFooter>&amp;C11</oddFooter>
  </headerFooter>
  <ignoredErrors>
    <ignoredError sqref="D17" formula="1"/>
  </ignoredErrors>
  <drawing r:id="rId1"/>
</worksheet>
</file>

<file path=xl/worksheets/sheet13.xml><?xml version="1.0" encoding="utf-8"?>
<worksheet xmlns="http://schemas.openxmlformats.org/spreadsheetml/2006/main" xmlns:r="http://schemas.openxmlformats.org/officeDocument/2006/relationships">
  <sheetPr>
    <tabColor indexed="12"/>
  </sheetPr>
  <dimension ref="A1:H40"/>
  <sheetViews>
    <sheetView showGridLines="0" workbookViewId="0" topLeftCell="A1">
      <selection activeCell="G16" sqref="G16"/>
    </sheetView>
  </sheetViews>
  <sheetFormatPr defaultColWidth="9.00390625" defaultRowHeight="12.75"/>
  <cols>
    <col min="1" max="1" width="14.25390625" style="8" customWidth="1"/>
    <col min="2" max="2" width="14.25390625" style="1" customWidth="1"/>
    <col min="3" max="3" width="19.25390625" style="1" customWidth="1"/>
    <col min="4" max="4" width="16.75390625" style="1" customWidth="1"/>
    <col min="5" max="5" width="15.625" style="1" customWidth="1"/>
    <col min="6" max="7" width="9.125" style="1" customWidth="1"/>
    <col min="8" max="8" width="10.25390625" style="1" bestFit="1" customWidth="1"/>
    <col min="9" max="16384" width="9.125" style="1" customWidth="1"/>
  </cols>
  <sheetData>
    <row r="1" spans="1:5" s="14" customFormat="1" ht="31.5" customHeight="1">
      <c r="A1" s="525" t="s">
        <v>109</v>
      </c>
      <c r="B1" s="483"/>
      <c r="C1" s="483"/>
      <c r="D1" s="483"/>
      <c r="E1" s="483"/>
    </row>
    <row r="2" ht="3.75" customHeight="1"/>
    <row r="3" spans="1:5" s="14" customFormat="1" ht="16.5" thickBot="1">
      <c r="A3" s="12" t="s">
        <v>122</v>
      </c>
      <c r="B3" s="16"/>
      <c r="C3" s="16"/>
      <c r="E3" s="31" t="s">
        <v>123</v>
      </c>
    </row>
    <row r="4" spans="1:5" ht="21.75" thickTop="1">
      <c r="A4" s="195" t="s">
        <v>92</v>
      </c>
      <c r="B4" s="145" t="s">
        <v>106</v>
      </c>
      <c r="C4" s="145" t="s">
        <v>107</v>
      </c>
      <c r="D4" s="145" t="s">
        <v>97</v>
      </c>
      <c r="E4" s="146" t="s">
        <v>98</v>
      </c>
    </row>
    <row r="5" spans="1:5" ht="12.75">
      <c r="A5" s="185" t="s">
        <v>80</v>
      </c>
      <c r="B5" s="197">
        <v>1508000</v>
      </c>
      <c r="C5" s="197">
        <f aca="true" t="shared" si="0" ref="C5:C11">SUM(D5:E5)</f>
        <v>699000</v>
      </c>
      <c r="D5" s="197">
        <v>586000</v>
      </c>
      <c r="E5" s="199">
        <v>113000</v>
      </c>
    </row>
    <row r="6" spans="1:5" ht="12.75">
      <c r="A6" s="185" t="s">
        <v>81</v>
      </c>
      <c r="B6" s="197">
        <v>1554100</v>
      </c>
      <c r="C6" s="197">
        <f t="shared" si="0"/>
        <v>712000</v>
      </c>
      <c r="D6" s="197">
        <v>600000</v>
      </c>
      <c r="E6" s="199">
        <v>112000</v>
      </c>
    </row>
    <row r="7" spans="1:5" ht="12.75">
      <c r="A7" s="185" t="s">
        <v>82</v>
      </c>
      <c r="B7" s="197">
        <v>1685000</v>
      </c>
      <c r="C7" s="197">
        <f t="shared" si="0"/>
        <v>637000</v>
      </c>
      <c r="D7" s="197">
        <v>525000</v>
      </c>
      <c r="E7" s="199">
        <v>112000</v>
      </c>
    </row>
    <row r="8" spans="1:5" ht="12.75">
      <c r="A8" s="185" t="s">
        <v>83</v>
      </c>
      <c r="B8" s="197">
        <v>1503278</v>
      </c>
      <c r="C8" s="197">
        <f t="shared" si="0"/>
        <v>653000</v>
      </c>
      <c r="D8" s="197">
        <v>540000</v>
      </c>
      <c r="E8" s="199">
        <v>113000</v>
      </c>
    </row>
    <row r="9" spans="1:5" ht="12.75">
      <c r="A9" s="185" t="s">
        <v>84</v>
      </c>
      <c r="B9" s="197">
        <v>1660000</v>
      </c>
      <c r="C9" s="197">
        <f t="shared" si="0"/>
        <v>955500</v>
      </c>
      <c r="D9" s="197">
        <v>843000</v>
      </c>
      <c r="E9" s="199">
        <v>112500</v>
      </c>
    </row>
    <row r="10" spans="1:5" ht="12.75">
      <c r="A10" s="185" t="s">
        <v>85</v>
      </c>
      <c r="B10" s="197">
        <v>1657000</v>
      </c>
      <c r="C10" s="197">
        <f t="shared" si="0"/>
        <v>623000</v>
      </c>
      <c r="D10" s="197">
        <v>510000</v>
      </c>
      <c r="E10" s="199">
        <v>113000</v>
      </c>
    </row>
    <row r="11" spans="1:5" ht="12.75">
      <c r="A11" s="185" t="s">
        <v>86</v>
      </c>
      <c r="B11" s="197">
        <v>1669000</v>
      </c>
      <c r="C11" s="197">
        <f t="shared" si="0"/>
        <v>713000</v>
      </c>
      <c r="D11" s="197">
        <v>600000</v>
      </c>
      <c r="E11" s="199">
        <v>113000</v>
      </c>
    </row>
    <row r="12" spans="1:5" ht="12.75">
      <c r="A12" s="185" t="s">
        <v>87</v>
      </c>
      <c r="B12" s="197">
        <v>1675000</v>
      </c>
      <c r="C12" s="197">
        <f>SUM(D12:E12)</f>
        <v>900000</v>
      </c>
      <c r="D12" s="197">
        <v>850000</v>
      </c>
      <c r="E12" s="199">
        <v>50000</v>
      </c>
    </row>
    <row r="13" spans="1:5" ht="12.75">
      <c r="A13" s="185" t="s">
        <v>88</v>
      </c>
      <c r="B13" s="197">
        <v>1703000</v>
      </c>
      <c r="C13" s="197">
        <f>SUM(D13:E13)</f>
        <v>776500</v>
      </c>
      <c r="D13" s="197">
        <v>664000</v>
      </c>
      <c r="E13" s="199">
        <v>112500</v>
      </c>
    </row>
    <row r="14" spans="1:5" ht="12.75">
      <c r="A14" s="185" t="s">
        <v>89</v>
      </c>
      <c r="B14" s="197">
        <v>1728000</v>
      </c>
      <c r="C14" s="197">
        <f>SUM(D14:E14)</f>
        <v>670500</v>
      </c>
      <c r="D14" s="197">
        <v>558000</v>
      </c>
      <c r="E14" s="199">
        <v>112500</v>
      </c>
    </row>
    <row r="15" spans="1:5" ht="12.75">
      <c r="A15" s="185" t="s">
        <v>90</v>
      </c>
      <c r="B15" s="197">
        <v>1717000</v>
      </c>
      <c r="C15" s="197">
        <f>SUM(D15:E15)</f>
        <v>756267</v>
      </c>
      <c r="D15" s="197">
        <v>756267</v>
      </c>
      <c r="E15" s="199">
        <v>0</v>
      </c>
    </row>
    <row r="16" spans="1:5" ht="12.75">
      <c r="A16" s="185" t="s">
        <v>91</v>
      </c>
      <c r="B16" s="197">
        <v>1806000</v>
      </c>
      <c r="C16" s="197">
        <f>SUM(D16:E16)</f>
        <v>761500</v>
      </c>
      <c r="D16" s="197">
        <v>475000</v>
      </c>
      <c r="E16" s="199">
        <v>286500</v>
      </c>
    </row>
    <row r="17" spans="1:5" ht="13.5" thickBot="1">
      <c r="A17" s="191" t="s">
        <v>31</v>
      </c>
      <c r="B17" s="200">
        <f>SUM(B5:B16)</f>
        <v>19865378</v>
      </c>
      <c r="C17" s="200">
        <f>SUM(C5:C16)</f>
        <v>8857267</v>
      </c>
      <c r="D17" s="200">
        <f>SUM(D5:D16)</f>
        <v>7507267</v>
      </c>
      <c r="E17" s="201">
        <f>SUM(E5:E16)</f>
        <v>1350000</v>
      </c>
    </row>
    <row r="18" spans="1:5" ht="13.5" thickTop="1">
      <c r="A18" s="28"/>
      <c r="B18" s="29"/>
      <c r="C18" s="29" t="s">
        <v>56</v>
      </c>
      <c r="D18" s="29" t="s">
        <v>56</v>
      </c>
      <c r="E18" s="29" t="s">
        <v>56</v>
      </c>
    </row>
    <row r="19" spans="1:5" ht="18.75" customHeight="1" thickBot="1">
      <c r="A19" s="526" t="s">
        <v>124</v>
      </c>
      <c r="B19" s="527"/>
      <c r="C19" s="527"/>
      <c r="D19" s="527"/>
      <c r="E19" s="31" t="s">
        <v>125</v>
      </c>
    </row>
    <row r="20" spans="1:5" ht="22.5" customHeight="1" thickTop="1">
      <c r="A20" s="184" t="s">
        <v>92</v>
      </c>
      <c r="B20" s="145" t="s">
        <v>106</v>
      </c>
      <c r="C20" s="145" t="s">
        <v>107</v>
      </c>
      <c r="D20" s="145" t="s">
        <v>97</v>
      </c>
      <c r="E20" s="146" t="s">
        <v>98</v>
      </c>
    </row>
    <row r="21" spans="1:5" ht="13.5" customHeight="1">
      <c r="A21" s="185" t="s">
        <v>80</v>
      </c>
      <c r="B21" s="186">
        <f>+B5/1329.5</f>
        <v>1134.2610003760813</v>
      </c>
      <c r="C21" s="186">
        <f aca="true" t="shared" si="1" ref="C21:C32">SUM(D21:E21)</f>
        <v>525.7615644979315</v>
      </c>
      <c r="D21" s="186">
        <f>+D5/1329.5</f>
        <v>440.7672057164348</v>
      </c>
      <c r="E21" s="187">
        <f>+E5/1329.5</f>
        <v>84.9943587814968</v>
      </c>
    </row>
    <row r="22" spans="1:5" ht="12.75">
      <c r="A22" s="185" t="s">
        <v>81</v>
      </c>
      <c r="B22" s="186">
        <f>+B6/1278.5</f>
        <v>1215.5651153695737</v>
      </c>
      <c r="C22" s="186">
        <f t="shared" si="1"/>
        <v>556.902620258115</v>
      </c>
      <c r="D22" s="186">
        <f>+D6/1278.5</f>
        <v>469.2999608916699</v>
      </c>
      <c r="E22" s="187">
        <f>+E6/1278.5</f>
        <v>87.60265936644505</v>
      </c>
    </row>
    <row r="23" spans="1:5" ht="12.75">
      <c r="A23" s="185" t="s">
        <v>82</v>
      </c>
      <c r="B23" s="186">
        <f>+B7/1346.2</f>
        <v>1251.6713712672708</v>
      </c>
      <c r="C23" s="186">
        <f t="shared" si="1"/>
        <v>473.1837765562324</v>
      </c>
      <c r="D23" s="186">
        <f>+D7/1346.2</f>
        <v>389.98662902986183</v>
      </c>
      <c r="E23" s="187">
        <f>+E7/1346.2</f>
        <v>83.19714752637053</v>
      </c>
    </row>
    <row r="24" spans="1:5" ht="12.75">
      <c r="A24" s="185" t="s">
        <v>83</v>
      </c>
      <c r="B24" s="186">
        <f>+B8/1384.4</f>
        <v>1085.8696908407974</v>
      </c>
      <c r="C24" s="186">
        <f>SUM(D24:E24)</f>
        <v>471.684484253106</v>
      </c>
      <c r="D24" s="186">
        <f>+D8/1384.4</f>
        <v>390.06067610517186</v>
      </c>
      <c r="E24" s="187">
        <f>+E8/1384.4</f>
        <v>81.62380814793411</v>
      </c>
    </row>
    <row r="25" spans="1:5" ht="12.75">
      <c r="A25" s="185" t="s">
        <v>84</v>
      </c>
      <c r="B25" s="186">
        <f>+B9/1355</f>
        <v>1225.0922509225093</v>
      </c>
      <c r="C25" s="186">
        <f>SUM(D25:E25)</f>
        <v>705.1660516605166</v>
      </c>
      <c r="D25" s="186">
        <f>+D9/1355</f>
        <v>622.140221402214</v>
      </c>
      <c r="E25" s="187">
        <f>+E9/1355</f>
        <v>83.02583025830258</v>
      </c>
    </row>
    <row r="26" spans="1:5" ht="12.75">
      <c r="A26" s="185" t="s">
        <v>85</v>
      </c>
      <c r="B26" s="186">
        <f>+B10/1333.7</f>
        <v>1242.4083377071304</v>
      </c>
      <c r="C26" s="186">
        <f t="shared" si="1"/>
        <v>467.12154157606653</v>
      </c>
      <c r="D26" s="186">
        <f>+D10/1333.7</f>
        <v>382.3948414186099</v>
      </c>
      <c r="E26" s="187">
        <f>+E10/1333.7</f>
        <v>84.72670015745669</v>
      </c>
    </row>
    <row r="27" spans="1:5" ht="12.75">
      <c r="A27" s="185" t="s">
        <v>86</v>
      </c>
      <c r="B27" s="186">
        <f>+B11/1321.2</f>
        <v>1263.2455343627005</v>
      </c>
      <c r="C27" s="186">
        <f t="shared" si="1"/>
        <v>539.6609143203149</v>
      </c>
      <c r="D27" s="186">
        <f>+D11/1321.2</f>
        <v>454.1326067211626</v>
      </c>
      <c r="E27" s="187">
        <f>+E11/1321.2</f>
        <v>85.52830759915228</v>
      </c>
    </row>
    <row r="28" spans="1:5" ht="12.75">
      <c r="A28" s="185" t="s">
        <v>87</v>
      </c>
      <c r="B28" s="186">
        <f>+B12/1347.3</f>
        <v>1243.2271951310029</v>
      </c>
      <c r="C28" s="186">
        <f t="shared" si="1"/>
        <v>668.002672010688</v>
      </c>
      <c r="D28" s="186">
        <f>+D12/1347.3</f>
        <v>630.8914124545387</v>
      </c>
      <c r="E28" s="187">
        <f>+E12/1347.3</f>
        <v>37.111259556149335</v>
      </c>
    </row>
    <row r="29" spans="1:5" s="30" customFormat="1" ht="12.75">
      <c r="A29" s="188" t="s">
        <v>88</v>
      </c>
      <c r="B29" s="189">
        <f>+B13/1342.2</f>
        <v>1268.812397556251</v>
      </c>
      <c r="C29" s="189">
        <f t="shared" si="1"/>
        <v>578.5277901952019</v>
      </c>
      <c r="D29" s="189">
        <f>+D13/1342.2</f>
        <v>494.71017732081657</v>
      </c>
      <c r="E29" s="190">
        <f>+E13/1342.2</f>
        <v>83.81761287438533</v>
      </c>
    </row>
    <row r="30" spans="1:5" ht="12.75">
      <c r="A30" s="185" t="s">
        <v>89</v>
      </c>
      <c r="B30" s="186">
        <f>+B14/1341.7</f>
        <v>1287.918312588507</v>
      </c>
      <c r="C30" s="186">
        <f t="shared" si="1"/>
        <v>499.739136915853</v>
      </c>
      <c r="D30" s="186">
        <f>+D14/1341.7</f>
        <v>415.8902884400387</v>
      </c>
      <c r="E30" s="187">
        <f>+E14/1341.7</f>
        <v>83.84884847581426</v>
      </c>
    </row>
    <row r="31" spans="1:5" ht="12.75">
      <c r="A31" s="185" t="s">
        <v>90</v>
      </c>
      <c r="B31" s="186">
        <f>+B15/1350</f>
        <v>1271.851851851852</v>
      </c>
      <c r="C31" s="186">
        <f t="shared" si="1"/>
        <v>560.1977777777778</v>
      </c>
      <c r="D31" s="186">
        <f>+D15/1350</f>
        <v>560.1977777777778</v>
      </c>
      <c r="E31" s="187">
        <f>+E15/1350</f>
        <v>0</v>
      </c>
    </row>
    <row r="32" spans="1:5" ht="12.75">
      <c r="A32" s="185" t="s">
        <v>91</v>
      </c>
      <c r="B32" s="186">
        <f>+B16/1341.8</f>
        <v>1345.953197197794</v>
      </c>
      <c r="C32" s="186">
        <f t="shared" si="1"/>
        <v>567.5212401252049</v>
      </c>
      <c r="D32" s="186">
        <f>+D16/1341.8</f>
        <v>354.00208674914296</v>
      </c>
      <c r="E32" s="187">
        <f>+E16/1341.8</f>
        <v>213.519153376062</v>
      </c>
    </row>
    <row r="33" spans="1:5" ht="13.5" thickBot="1">
      <c r="A33" s="191" t="s">
        <v>31</v>
      </c>
      <c r="B33" s="192">
        <f>SUM(B21:B32)</f>
        <v>14835.876255171468</v>
      </c>
      <c r="C33" s="193">
        <f>SUM(C21:C32)</f>
        <v>6613.469570147008</v>
      </c>
      <c r="D33" s="193">
        <f>SUM(D21:D32)</f>
        <v>5604.473884027439</v>
      </c>
      <c r="E33" s="194">
        <f>SUM(E21:E32)</f>
        <v>1008.995686119569</v>
      </c>
    </row>
    <row r="34" ht="13.5" thickTop="1"/>
    <row r="39" ht="12.75">
      <c r="H39" s="33"/>
    </row>
    <row r="40" ht="12.75">
      <c r="H40" s="34"/>
    </row>
  </sheetData>
  <mergeCells count="2">
    <mergeCell ref="A1:E1"/>
    <mergeCell ref="A19:D19"/>
  </mergeCells>
  <printOptions/>
  <pageMargins left="0.75" right="0.75" top="1" bottom="1" header="0.5" footer="0.5"/>
  <pageSetup horizontalDpi="300" verticalDpi="300" orientation="portrait" paperSize="9" r:id="rId2"/>
  <headerFooter alignWithMargins="0">
    <oddFooter>&amp;C12</oddFooter>
  </headerFooter>
  <ignoredErrors>
    <ignoredError sqref="C21:C33" formula="1"/>
  </ignoredErrors>
  <drawing r:id="rId1"/>
</worksheet>
</file>

<file path=xl/worksheets/sheet14.xml><?xml version="1.0" encoding="utf-8"?>
<worksheet xmlns="http://schemas.openxmlformats.org/spreadsheetml/2006/main" xmlns:r="http://schemas.openxmlformats.org/officeDocument/2006/relationships">
  <sheetPr>
    <tabColor indexed="12"/>
  </sheetPr>
  <dimension ref="A1:I40"/>
  <sheetViews>
    <sheetView showGridLines="0" workbookViewId="0" topLeftCell="A31">
      <selection activeCell="C23" sqref="C23"/>
    </sheetView>
  </sheetViews>
  <sheetFormatPr defaultColWidth="9.00390625" defaultRowHeight="12.75"/>
  <cols>
    <col min="1" max="1" width="14.25390625" style="8" customWidth="1"/>
    <col min="2" max="2" width="11.875" style="1" customWidth="1"/>
    <col min="3" max="3" width="18.00390625" style="1" customWidth="1"/>
    <col min="4" max="4" width="12.25390625" style="1" customWidth="1"/>
    <col min="5" max="5" width="12.00390625" style="1" customWidth="1"/>
    <col min="6" max="6" width="15.625" style="1" customWidth="1"/>
    <col min="7" max="8" width="9.125" style="1" customWidth="1"/>
    <col min="9" max="9" width="10.25390625" style="1" bestFit="1" customWidth="1"/>
    <col min="10" max="16384" width="9.125" style="1" customWidth="1"/>
  </cols>
  <sheetData>
    <row r="1" spans="1:6" s="14" customFormat="1" ht="33" customHeight="1">
      <c r="A1" s="525" t="s">
        <v>126</v>
      </c>
      <c r="B1" s="483"/>
      <c r="C1" s="483"/>
      <c r="D1" s="483"/>
      <c r="E1" s="483"/>
      <c r="F1" s="483"/>
    </row>
    <row r="2" ht="4.5" customHeight="1"/>
    <row r="3" spans="1:6" s="14" customFormat="1" ht="16.5" thickBot="1">
      <c r="A3" s="12" t="s">
        <v>127</v>
      </c>
      <c r="B3" s="16"/>
      <c r="C3" s="16"/>
      <c r="F3" s="31" t="s">
        <v>123</v>
      </c>
    </row>
    <row r="4" spans="1:6" ht="21.75" thickTop="1">
      <c r="A4" s="195" t="s">
        <v>92</v>
      </c>
      <c r="B4" s="145" t="s">
        <v>106</v>
      </c>
      <c r="C4" s="145" t="s">
        <v>107</v>
      </c>
      <c r="D4" s="145" t="s">
        <v>97</v>
      </c>
      <c r="E4" s="196" t="s">
        <v>129</v>
      </c>
      <c r="F4" s="146" t="s">
        <v>98</v>
      </c>
    </row>
    <row r="5" spans="1:6" ht="12.75">
      <c r="A5" s="185" t="s">
        <v>80</v>
      </c>
      <c r="B5" s="197">
        <v>1928000</v>
      </c>
      <c r="C5" s="197">
        <f>SUM(D5:F5)</f>
        <v>633000</v>
      </c>
      <c r="D5" s="197">
        <v>500000</v>
      </c>
      <c r="E5" s="198">
        <v>0</v>
      </c>
      <c r="F5" s="199">
        <v>133000</v>
      </c>
    </row>
    <row r="6" spans="1:6" ht="12.75">
      <c r="A6" s="185" t="s">
        <v>81</v>
      </c>
      <c r="B6" s="197">
        <v>1740000</v>
      </c>
      <c r="C6" s="197">
        <f>SUM(D6:F6)</f>
        <v>1430000</v>
      </c>
      <c r="D6" s="197">
        <v>1136020</v>
      </c>
      <c r="E6" s="198">
        <v>160980</v>
      </c>
      <c r="F6" s="199">
        <v>133000</v>
      </c>
    </row>
    <row r="7" spans="1:6" ht="12.75">
      <c r="A7" s="185" t="s">
        <v>82</v>
      </c>
      <c r="B7" s="197">
        <v>1948000</v>
      </c>
      <c r="C7" s="197">
        <f>SUM(D7:F7)</f>
        <v>1055000</v>
      </c>
      <c r="D7" s="197">
        <v>839264</v>
      </c>
      <c r="E7" s="198">
        <v>82736</v>
      </c>
      <c r="F7" s="199">
        <v>133000</v>
      </c>
    </row>
    <row r="8" spans="1:6" ht="12.75">
      <c r="A8" s="185" t="s">
        <v>83</v>
      </c>
      <c r="B8" s="197"/>
      <c r="C8" s="197"/>
      <c r="D8" s="197"/>
      <c r="E8" s="198"/>
      <c r="F8" s="199"/>
    </row>
    <row r="9" spans="1:8" ht="12.75">
      <c r="A9" s="185" t="s">
        <v>84</v>
      </c>
      <c r="B9" s="197"/>
      <c r="C9" s="197"/>
      <c r="D9" s="197"/>
      <c r="E9" s="198"/>
      <c r="F9" s="199"/>
      <c r="H9" s="37"/>
    </row>
    <row r="10" spans="1:8" ht="12.75">
      <c r="A10" s="185" t="s">
        <v>85</v>
      </c>
      <c r="B10" s="197"/>
      <c r="C10" s="197"/>
      <c r="D10" s="197"/>
      <c r="E10" s="198"/>
      <c r="F10" s="199"/>
      <c r="H10" s="38"/>
    </row>
    <row r="11" spans="1:8" ht="12.75">
      <c r="A11" s="185" t="s">
        <v>86</v>
      </c>
      <c r="B11" s="197"/>
      <c r="C11" s="197"/>
      <c r="D11" s="197"/>
      <c r="E11" s="198"/>
      <c r="F11" s="199"/>
      <c r="H11" s="38"/>
    </row>
    <row r="12" spans="1:8" ht="12.75">
      <c r="A12" s="185" t="s">
        <v>87</v>
      </c>
      <c r="B12" s="197"/>
      <c r="C12" s="197"/>
      <c r="D12" s="197"/>
      <c r="E12" s="198"/>
      <c r="F12" s="199"/>
      <c r="H12" s="38"/>
    </row>
    <row r="13" spans="1:8" ht="12.75">
      <c r="A13" s="185" t="s">
        <v>88</v>
      </c>
      <c r="B13" s="197"/>
      <c r="C13" s="197"/>
      <c r="D13" s="197"/>
      <c r="E13" s="198"/>
      <c r="F13" s="199"/>
      <c r="H13" s="37" t="s">
        <v>56</v>
      </c>
    </row>
    <row r="14" spans="1:8" ht="12.75">
      <c r="A14" s="185" t="s">
        <v>89</v>
      </c>
      <c r="B14" s="197"/>
      <c r="C14" s="197"/>
      <c r="D14" s="197"/>
      <c r="E14" s="198"/>
      <c r="F14" s="199"/>
      <c r="H14" s="37" t="s">
        <v>56</v>
      </c>
    </row>
    <row r="15" spans="1:6" ht="12.75">
      <c r="A15" s="185" t="s">
        <v>90</v>
      </c>
      <c r="B15" s="197"/>
      <c r="C15" s="197"/>
      <c r="D15" s="197"/>
      <c r="E15" s="198"/>
      <c r="F15" s="199"/>
    </row>
    <row r="16" spans="1:6" ht="12.75">
      <c r="A16" s="185" t="s">
        <v>91</v>
      </c>
      <c r="B16" s="197"/>
      <c r="C16" s="197"/>
      <c r="D16" s="197"/>
      <c r="E16" s="198"/>
      <c r="F16" s="199"/>
    </row>
    <row r="17" spans="1:6" ht="13.5" thickBot="1">
      <c r="A17" s="191" t="s">
        <v>31</v>
      </c>
      <c r="B17" s="200">
        <f>SUM(B5:B16)</f>
        <v>5616000</v>
      </c>
      <c r="C17" s="200">
        <f>SUM(C5:C16)</f>
        <v>3118000</v>
      </c>
      <c r="D17" s="200">
        <f>SUM(D5:D16)</f>
        <v>2475284</v>
      </c>
      <c r="E17" s="200">
        <f>SUM(E5:E16)</f>
        <v>243716</v>
      </c>
      <c r="F17" s="201">
        <f>SUM(F5:F16)</f>
        <v>399000</v>
      </c>
    </row>
    <row r="18" spans="1:6" ht="9" customHeight="1" thickTop="1">
      <c r="A18" s="28"/>
      <c r="B18" s="29"/>
      <c r="C18" s="29" t="s">
        <v>56</v>
      </c>
      <c r="D18" s="29" t="s">
        <v>56</v>
      </c>
      <c r="E18" s="29"/>
      <c r="F18" s="29" t="s">
        <v>56</v>
      </c>
    </row>
    <row r="19" spans="1:6" ht="18.75" customHeight="1" thickBot="1">
      <c r="A19" s="35" t="s">
        <v>128</v>
      </c>
      <c r="B19" s="36"/>
      <c r="C19" s="36"/>
      <c r="D19" s="36"/>
      <c r="E19" s="32"/>
      <c r="F19" s="31" t="s">
        <v>125</v>
      </c>
    </row>
    <row r="20" spans="1:6" ht="22.5" customHeight="1" thickTop="1">
      <c r="A20" s="184" t="s">
        <v>92</v>
      </c>
      <c r="B20" s="145" t="s">
        <v>106</v>
      </c>
      <c r="C20" s="145" t="s">
        <v>107</v>
      </c>
      <c r="D20" s="145" t="s">
        <v>97</v>
      </c>
      <c r="E20" s="196" t="s">
        <v>129</v>
      </c>
      <c r="F20" s="146" t="s">
        <v>98</v>
      </c>
    </row>
    <row r="21" spans="1:6" ht="13.5" customHeight="1">
      <c r="A21" s="185" t="s">
        <v>80</v>
      </c>
      <c r="B21" s="186">
        <f>+B5/1319.9</f>
        <v>1460.7167209637093</v>
      </c>
      <c r="C21" s="186">
        <f>+C5/1319.9</f>
        <v>479.5817864989772</v>
      </c>
      <c r="D21" s="186">
        <f>+D5/1319.9</f>
        <v>378.8165770134101</v>
      </c>
      <c r="E21" s="186">
        <f>+E5/1319.9</f>
        <v>0</v>
      </c>
      <c r="F21" s="187">
        <f>+F5/1319.9</f>
        <v>100.76520948556708</v>
      </c>
    </row>
    <row r="22" spans="1:6" ht="12.75">
      <c r="A22" s="185" t="s">
        <v>81</v>
      </c>
      <c r="B22" s="186">
        <f>+B6/1306</f>
        <v>1332.312404287902</v>
      </c>
      <c r="C22" s="186">
        <f>+C6/1306</f>
        <v>1094.9464012251149</v>
      </c>
      <c r="D22" s="186">
        <f>+D6/1306</f>
        <v>869.8468606431853</v>
      </c>
      <c r="E22" s="186">
        <f>+E6/1306</f>
        <v>123.26186830015314</v>
      </c>
      <c r="F22" s="187">
        <f>+F6/1306</f>
        <v>101.83767228177642</v>
      </c>
    </row>
    <row r="23" spans="1:6" ht="12.75">
      <c r="A23" s="185" t="s">
        <v>82</v>
      </c>
      <c r="B23" s="186">
        <f>+B7/1341.7</f>
        <v>1451.8893940523217</v>
      </c>
      <c r="C23" s="186">
        <f>+C7/1341.7</f>
        <v>786.3158679287471</v>
      </c>
      <c r="D23" s="186">
        <f>+D7/1341.7</f>
        <v>625.5228441529403</v>
      </c>
      <c r="E23" s="186">
        <f>+E7/1341.7</f>
        <v>61.66505179995528</v>
      </c>
      <c r="F23" s="187">
        <f>+F7/1341.7</f>
        <v>99.12797197585152</v>
      </c>
    </row>
    <row r="24" spans="1:6" ht="12.75">
      <c r="A24" s="185" t="s">
        <v>83</v>
      </c>
      <c r="B24" s="186"/>
      <c r="C24" s="186"/>
      <c r="D24" s="186"/>
      <c r="E24" s="202"/>
      <c r="F24" s="187"/>
    </row>
    <row r="25" spans="1:6" ht="12.75">
      <c r="A25" s="185" t="s">
        <v>84</v>
      </c>
      <c r="B25" s="186"/>
      <c r="C25" s="186"/>
      <c r="D25" s="186"/>
      <c r="E25" s="202"/>
      <c r="F25" s="187"/>
    </row>
    <row r="26" spans="1:6" ht="12.75">
      <c r="A26" s="185" t="s">
        <v>85</v>
      </c>
      <c r="B26" s="186"/>
      <c r="C26" s="186"/>
      <c r="D26" s="186"/>
      <c r="E26" s="202"/>
      <c r="F26" s="187"/>
    </row>
    <row r="27" spans="1:6" ht="12.75">
      <c r="A27" s="185" t="s">
        <v>86</v>
      </c>
      <c r="B27" s="186"/>
      <c r="C27" s="186"/>
      <c r="D27" s="186"/>
      <c r="E27" s="202"/>
      <c r="F27" s="187"/>
    </row>
    <row r="28" spans="1:6" ht="12.75">
      <c r="A28" s="185" t="s">
        <v>87</v>
      </c>
      <c r="B28" s="186"/>
      <c r="C28" s="186"/>
      <c r="D28" s="186"/>
      <c r="E28" s="202"/>
      <c r="F28" s="187"/>
    </row>
    <row r="29" spans="1:6" s="30" customFormat="1" ht="12.75">
      <c r="A29" s="188" t="s">
        <v>88</v>
      </c>
      <c r="B29" s="189"/>
      <c r="C29" s="189"/>
      <c r="D29" s="189"/>
      <c r="E29" s="203"/>
      <c r="F29" s="190"/>
    </row>
    <row r="30" spans="1:6" ht="12.75">
      <c r="A30" s="185" t="s">
        <v>89</v>
      </c>
      <c r="B30" s="186"/>
      <c r="C30" s="186"/>
      <c r="D30" s="186"/>
      <c r="E30" s="202"/>
      <c r="F30" s="187"/>
    </row>
    <row r="31" spans="1:6" ht="12.75">
      <c r="A31" s="185" t="s">
        <v>90</v>
      </c>
      <c r="B31" s="186"/>
      <c r="C31" s="186"/>
      <c r="D31" s="186"/>
      <c r="E31" s="202"/>
      <c r="F31" s="187"/>
    </row>
    <row r="32" spans="1:6" ht="12.75">
      <c r="A32" s="185" t="s">
        <v>91</v>
      </c>
      <c r="B32" s="186"/>
      <c r="C32" s="186"/>
      <c r="D32" s="186"/>
      <c r="E32" s="202"/>
      <c r="F32" s="187"/>
    </row>
    <row r="33" spans="1:6" ht="13.5" thickBot="1">
      <c r="A33" s="191" t="s">
        <v>31</v>
      </c>
      <c r="B33" s="192">
        <f>SUM(B21:B32)</f>
        <v>4244.918519303933</v>
      </c>
      <c r="C33" s="193">
        <f>SUM(C21:C32)</f>
        <v>2360.8440556528394</v>
      </c>
      <c r="D33" s="193">
        <f>SUM(D21:D32)</f>
        <v>1874.1862818095356</v>
      </c>
      <c r="E33" s="193">
        <f>SUM(E21:E32)</f>
        <v>184.92692010010842</v>
      </c>
      <c r="F33" s="194">
        <f>SUM(F21:F32)</f>
        <v>301.730853743195</v>
      </c>
    </row>
    <row r="34" ht="13.5" thickTop="1"/>
    <row r="39" ht="12.75">
      <c r="I39" s="33"/>
    </row>
    <row r="40" ht="12.75">
      <c r="I40" s="34"/>
    </row>
  </sheetData>
  <mergeCells count="1">
    <mergeCell ref="A1:F1"/>
  </mergeCells>
  <printOptions/>
  <pageMargins left="0.75" right="0.75" top="1" bottom="1" header="0.5" footer="0.5"/>
  <pageSetup horizontalDpi="300" verticalDpi="300" orientation="portrait" paperSize="9" r:id="rId2"/>
  <headerFooter alignWithMargins="0">
    <oddFooter>&amp;C13</oddFooter>
  </headerFooter>
  <drawing r:id="rId1"/>
</worksheet>
</file>

<file path=xl/worksheets/sheet15.xml><?xml version="1.0" encoding="utf-8"?>
<worksheet xmlns="http://schemas.openxmlformats.org/spreadsheetml/2006/main" xmlns:r="http://schemas.openxmlformats.org/officeDocument/2006/relationships">
  <sheetPr>
    <tabColor indexed="12"/>
  </sheetPr>
  <dimension ref="A1:P35"/>
  <sheetViews>
    <sheetView showGridLines="0" workbookViewId="0" topLeftCell="E1">
      <selection activeCell="J4" sqref="J4:K4"/>
    </sheetView>
  </sheetViews>
  <sheetFormatPr defaultColWidth="9.00390625" defaultRowHeight="12.75"/>
  <cols>
    <col min="1" max="1" width="14.25390625" style="14" customWidth="1"/>
    <col min="2" max="2" width="14.375" style="14" customWidth="1"/>
    <col min="3" max="3" width="13.875" style="14" customWidth="1"/>
    <col min="4" max="5" width="14.125" style="14" customWidth="1"/>
    <col min="6" max="6" width="13.625" style="14" customWidth="1"/>
    <col min="7" max="7" width="14.625" style="14" customWidth="1"/>
    <col min="8" max="8" width="16.375" style="14" customWidth="1"/>
    <col min="9" max="9" width="16.625" style="14" customWidth="1"/>
    <col min="10" max="10" width="15.75390625" style="14" customWidth="1"/>
    <col min="11" max="11" width="8.375" style="14" customWidth="1"/>
    <col min="12" max="12" width="10.00390625" style="14" customWidth="1"/>
    <col min="13" max="16384" width="9.125" style="14" customWidth="1"/>
  </cols>
  <sheetData>
    <row r="1" spans="1:3" ht="15.75">
      <c r="A1" s="362" t="s">
        <v>460</v>
      </c>
      <c r="B1" s="39"/>
      <c r="C1" s="39"/>
    </row>
    <row r="2" spans="1:11" ht="21" customHeight="1" thickBot="1">
      <c r="A2" s="42" t="s">
        <v>20</v>
      </c>
      <c r="B2" s="5"/>
      <c r="C2" s="40"/>
      <c r="D2" s="40"/>
      <c r="E2" s="1"/>
      <c r="F2" s="1"/>
      <c r="G2" s="1"/>
      <c r="H2" s="1"/>
      <c r="I2" s="1"/>
      <c r="J2" s="1"/>
      <c r="K2" s="1"/>
    </row>
    <row r="3" spans="1:11" ht="20.25" customHeight="1" thickTop="1">
      <c r="A3" s="204" t="s">
        <v>56</v>
      </c>
      <c r="B3" s="205">
        <v>1999</v>
      </c>
      <c r="C3" s="205">
        <v>2000</v>
      </c>
      <c r="D3" s="205">
        <v>2001</v>
      </c>
      <c r="E3" s="206">
        <v>2002</v>
      </c>
      <c r="F3" s="206">
        <v>2003</v>
      </c>
      <c r="G3" s="206">
        <v>2004</v>
      </c>
      <c r="H3" s="116" t="s">
        <v>243</v>
      </c>
      <c r="I3" s="116" t="s">
        <v>501</v>
      </c>
      <c r="J3" s="528"/>
      <c r="K3" s="529"/>
    </row>
    <row r="4" spans="1:11" ht="18.75" customHeight="1">
      <c r="A4" s="207" t="s">
        <v>159</v>
      </c>
      <c r="B4" s="208">
        <f aca="true" t="shared" si="0" ref="B4:H4">+B5+B6+B7+B8+B9</f>
        <v>6355639</v>
      </c>
      <c r="C4" s="208">
        <f t="shared" si="0"/>
        <v>6565167</v>
      </c>
      <c r="D4" s="208">
        <f t="shared" si="0"/>
        <v>6136107</v>
      </c>
      <c r="E4" s="208">
        <f t="shared" si="0"/>
        <v>6563187</v>
      </c>
      <c r="F4" s="208">
        <f t="shared" si="0"/>
        <v>6750460</v>
      </c>
      <c r="G4" s="208">
        <f t="shared" si="0"/>
        <v>6952848</v>
      </c>
      <c r="H4" s="208">
        <f t="shared" si="0"/>
        <v>7544167</v>
      </c>
      <c r="I4" s="208">
        <f>+I5+I6+I7+I8+I9</f>
        <v>7473375</v>
      </c>
      <c r="J4" s="536" t="s">
        <v>160</v>
      </c>
      <c r="K4" s="537"/>
    </row>
    <row r="5" spans="1:12" ht="23.25" customHeight="1">
      <c r="A5" s="207" t="s">
        <v>130</v>
      </c>
      <c r="B5" s="209">
        <v>5005403</v>
      </c>
      <c r="C5" s="209">
        <v>5254125</v>
      </c>
      <c r="D5" s="209">
        <v>4886881</v>
      </c>
      <c r="E5" s="209">
        <v>5223283</v>
      </c>
      <c r="F5" s="209">
        <v>5615238</v>
      </c>
      <c r="G5" s="209">
        <v>6181251</v>
      </c>
      <c r="H5" s="209">
        <v>6803862</v>
      </c>
      <c r="I5" s="209">
        <v>6742149</v>
      </c>
      <c r="J5" s="530" t="s">
        <v>151</v>
      </c>
      <c r="K5" s="531"/>
      <c r="L5" s="14" t="s">
        <v>56</v>
      </c>
    </row>
    <row r="6" spans="1:12" ht="15.75">
      <c r="A6" s="207" t="s">
        <v>131</v>
      </c>
      <c r="B6" s="209">
        <v>229816</v>
      </c>
      <c r="C6" s="209">
        <v>253301</v>
      </c>
      <c r="D6" s="209">
        <v>191187</v>
      </c>
      <c r="E6" s="209">
        <v>215259</v>
      </c>
      <c r="F6" s="209">
        <v>231915</v>
      </c>
      <c r="G6" s="209">
        <v>219000</v>
      </c>
      <c r="H6" s="209">
        <v>256590</v>
      </c>
      <c r="I6" s="209">
        <v>265554</v>
      </c>
      <c r="J6" s="530" t="s">
        <v>152</v>
      </c>
      <c r="K6" s="531"/>
      <c r="L6" s="14" t="s">
        <v>56</v>
      </c>
    </row>
    <row r="7" spans="1:11" ht="30.75" customHeight="1">
      <c r="A7" s="207" t="s">
        <v>11</v>
      </c>
      <c r="B7" s="209">
        <v>901265</v>
      </c>
      <c r="C7" s="209">
        <v>843957</v>
      </c>
      <c r="D7" s="209">
        <v>888675</v>
      </c>
      <c r="E7" s="209">
        <v>942024</v>
      </c>
      <c r="F7" s="209">
        <v>697630</v>
      </c>
      <c r="G7" s="209">
        <v>327962</v>
      </c>
      <c r="H7" s="210">
        <v>267720</v>
      </c>
      <c r="I7" s="210">
        <v>249267</v>
      </c>
      <c r="J7" s="530" t="s">
        <v>153</v>
      </c>
      <c r="K7" s="531"/>
    </row>
    <row r="8" spans="1:11" ht="15.75">
      <c r="A8" s="207" t="s">
        <v>132</v>
      </c>
      <c r="B8" s="209">
        <v>25329</v>
      </c>
      <c r="C8" s="209">
        <v>29109</v>
      </c>
      <c r="D8" s="209">
        <v>27058</v>
      </c>
      <c r="E8" s="209">
        <v>33458</v>
      </c>
      <c r="F8" s="209">
        <v>40409</v>
      </c>
      <c r="G8" s="209">
        <v>47918</v>
      </c>
      <c r="H8" s="209">
        <v>27995</v>
      </c>
      <c r="I8" s="209">
        <v>26405</v>
      </c>
      <c r="J8" s="530" t="s">
        <v>155</v>
      </c>
      <c r="K8" s="531"/>
    </row>
    <row r="9" spans="1:11" ht="15.75">
      <c r="A9" s="207" t="s">
        <v>133</v>
      </c>
      <c r="B9" s="209">
        <v>193826</v>
      </c>
      <c r="C9" s="209">
        <v>184675</v>
      </c>
      <c r="D9" s="209">
        <v>142306</v>
      </c>
      <c r="E9" s="209">
        <v>149163</v>
      </c>
      <c r="F9" s="209">
        <v>165268</v>
      </c>
      <c r="G9" s="209">
        <v>176717</v>
      </c>
      <c r="H9" s="209">
        <v>188000</v>
      </c>
      <c r="I9" s="209">
        <v>190000</v>
      </c>
      <c r="J9" s="530" t="s">
        <v>156</v>
      </c>
      <c r="K9" s="531"/>
    </row>
    <row r="10" spans="1:11" ht="15.75">
      <c r="A10" s="207" t="s">
        <v>134</v>
      </c>
      <c r="B10" s="208">
        <v>3148826</v>
      </c>
      <c r="C10" s="208">
        <v>3339327</v>
      </c>
      <c r="D10" s="208">
        <v>3560638</v>
      </c>
      <c r="E10" s="208">
        <v>3747573</v>
      </c>
      <c r="F10" s="208">
        <v>3935523</v>
      </c>
      <c r="G10" s="208">
        <v>4120866</v>
      </c>
      <c r="H10" s="208">
        <v>4308186</v>
      </c>
      <c r="I10" s="208">
        <v>4334490</v>
      </c>
      <c r="J10" s="536" t="s">
        <v>157</v>
      </c>
      <c r="K10" s="537"/>
    </row>
    <row r="11" spans="1:11" ht="15.75">
      <c r="A11" s="207" t="s">
        <v>135</v>
      </c>
      <c r="B11" s="208">
        <v>21469875</v>
      </c>
      <c r="C11" s="208">
        <v>22541181</v>
      </c>
      <c r="D11" s="208">
        <f>+D5*3.17+((2418992+61649)*2.23)+(D9*4)</f>
        <v>21592466.2</v>
      </c>
      <c r="E11" s="208">
        <f>+E5*3.17+((2555965+62542)*2.23)+(E9*4)</f>
        <v>22993729.72</v>
      </c>
      <c r="F11" s="208">
        <f>+F5*3.17+((2694834+62709)*2.23)+(F9*4)</f>
        <v>24610697.35</v>
      </c>
      <c r="G11" s="208">
        <f>+G5*3.17+((2838422+63071)*2.23)+(G9*4)</f>
        <v>26771763.06</v>
      </c>
      <c r="H11" s="208">
        <f>+H5*3.17+((62700+2988054)*2.23)+(H9*4)</f>
        <v>29123423.96</v>
      </c>
      <c r="I11" s="208">
        <f>+I5*3.17+((62601+3007812)*2.23)+(I9*4)</f>
        <v>28979633.32</v>
      </c>
      <c r="J11" s="536" t="s">
        <v>154</v>
      </c>
      <c r="K11" s="537"/>
    </row>
    <row r="12" spans="1:11" ht="36.75" customHeight="1" thickBot="1">
      <c r="A12" s="211" t="s">
        <v>136</v>
      </c>
      <c r="B12" s="212">
        <f aca="true" t="shared" si="1" ref="B12:I12">+B4+B10+B11</f>
        <v>30974340</v>
      </c>
      <c r="C12" s="212">
        <f t="shared" si="1"/>
        <v>32445675</v>
      </c>
      <c r="D12" s="212">
        <f t="shared" si="1"/>
        <v>31289211.2</v>
      </c>
      <c r="E12" s="212">
        <f t="shared" si="1"/>
        <v>33304489.72</v>
      </c>
      <c r="F12" s="212">
        <f t="shared" si="1"/>
        <v>35296680.35</v>
      </c>
      <c r="G12" s="212">
        <f t="shared" si="1"/>
        <v>37845477.06</v>
      </c>
      <c r="H12" s="212">
        <f t="shared" si="1"/>
        <v>40975776.96</v>
      </c>
      <c r="I12" s="212">
        <f t="shared" si="1"/>
        <v>40787498.32</v>
      </c>
      <c r="J12" s="540" t="s">
        <v>158</v>
      </c>
      <c r="K12" s="541"/>
    </row>
    <row r="13" spans="1:11" ht="21.75" customHeight="1" thickBot="1" thickTop="1">
      <c r="A13" s="532" t="s">
        <v>8</v>
      </c>
      <c r="B13" s="533"/>
      <c r="C13" s="534" t="s">
        <v>10</v>
      </c>
      <c r="D13" s="535"/>
      <c r="E13" s="535"/>
      <c r="F13" s="535"/>
      <c r="G13" s="535"/>
      <c r="H13" s="535"/>
      <c r="I13" s="535"/>
      <c r="J13" s="535"/>
      <c r="K13" s="535"/>
    </row>
    <row r="14" spans="1:11" ht="36" customHeight="1" thickTop="1">
      <c r="A14" s="393" t="s">
        <v>0</v>
      </c>
      <c r="B14" s="394" t="s">
        <v>1</v>
      </c>
      <c r="C14" s="538" t="s">
        <v>9</v>
      </c>
      <c r="D14" s="539"/>
      <c r="E14" s="539"/>
      <c r="F14" s="539"/>
      <c r="G14" s="539"/>
      <c r="H14" s="539"/>
      <c r="I14" s="539"/>
      <c r="J14" s="539"/>
      <c r="K14" s="539"/>
    </row>
    <row r="15" spans="1:2" ht="13.5" customHeight="1">
      <c r="A15" s="395">
        <v>1960</v>
      </c>
      <c r="B15" s="396">
        <v>24.3</v>
      </c>
    </row>
    <row r="16" spans="1:2" ht="13.5" customHeight="1">
      <c r="A16" s="395">
        <v>1965</v>
      </c>
      <c r="B16" s="396">
        <v>16.88</v>
      </c>
    </row>
    <row r="17" spans="1:2" ht="13.5" customHeight="1">
      <c r="A17" s="395">
        <v>1970</v>
      </c>
      <c r="B17" s="396">
        <v>9.03</v>
      </c>
    </row>
    <row r="18" spans="1:2" ht="13.5" customHeight="1">
      <c r="A18" s="395">
        <v>1975</v>
      </c>
      <c r="B18" s="396">
        <v>6.29</v>
      </c>
    </row>
    <row r="19" spans="1:2" ht="13.5" customHeight="1">
      <c r="A19" s="395">
        <v>1980</v>
      </c>
      <c r="B19" s="396">
        <v>3.47</v>
      </c>
    </row>
    <row r="20" spans="1:2" ht="13.5" customHeight="1">
      <c r="A20" s="395">
        <v>1985</v>
      </c>
      <c r="B20" s="396">
        <v>2.45</v>
      </c>
    </row>
    <row r="21" spans="1:2" ht="13.5" customHeight="1">
      <c r="A21" s="395">
        <v>1990</v>
      </c>
      <c r="B21" s="396">
        <v>2.39</v>
      </c>
    </row>
    <row r="22" spans="1:2" ht="13.5" customHeight="1">
      <c r="A22" s="395">
        <v>1995</v>
      </c>
      <c r="B22" s="396">
        <v>2.44</v>
      </c>
    </row>
    <row r="23" spans="1:2" ht="13.5" customHeight="1">
      <c r="A23" s="395">
        <v>1999</v>
      </c>
      <c r="B23" s="396">
        <v>2.02</v>
      </c>
    </row>
    <row r="24" spans="1:2" ht="13.5" customHeight="1">
      <c r="A24" s="395">
        <v>2000</v>
      </c>
      <c r="B24" s="396">
        <v>1.97</v>
      </c>
    </row>
    <row r="25" spans="1:2" ht="13.5" customHeight="1">
      <c r="A25" s="395">
        <v>2001</v>
      </c>
      <c r="B25" s="396">
        <v>1.72</v>
      </c>
    </row>
    <row r="26" spans="1:2" ht="13.5" customHeight="1">
      <c r="A26" s="395">
        <v>2002</v>
      </c>
      <c r="B26" s="396">
        <v>1.75</v>
      </c>
    </row>
    <row r="27" spans="1:2" ht="13.5" customHeight="1">
      <c r="A27" s="395">
        <v>2003</v>
      </c>
      <c r="B27" s="396">
        <v>1.72</v>
      </c>
    </row>
    <row r="28" spans="1:2" ht="14.25" customHeight="1">
      <c r="A28" s="395">
        <v>2004</v>
      </c>
      <c r="B28" s="396">
        <v>1.69</v>
      </c>
    </row>
    <row r="29" spans="1:2" ht="14.25" customHeight="1">
      <c r="A29" s="395">
        <v>2005</v>
      </c>
      <c r="B29" s="396">
        <v>1.75</v>
      </c>
    </row>
    <row r="30" spans="1:2" ht="23.25" customHeight="1" thickBot="1">
      <c r="A30" s="398" t="s">
        <v>502</v>
      </c>
      <c r="B30" s="397">
        <f>+I4/I10</f>
        <v>1.7241647806316314</v>
      </c>
    </row>
    <row r="31" spans="1:12" ht="13.5" customHeight="1" thickTop="1">
      <c r="A31" s="43"/>
      <c r="C31" s="44"/>
      <c r="D31" s="41"/>
      <c r="E31" s="41"/>
      <c r="F31" s="41"/>
      <c r="G31" s="41"/>
      <c r="H31" s="41"/>
      <c r="I31" s="41"/>
      <c r="J31" s="41"/>
      <c r="K31" s="41"/>
      <c r="L31" s="41"/>
    </row>
    <row r="32" ht="11.25" customHeight="1"/>
    <row r="34" spans="2:16" s="112" customFormat="1" ht="15.75">
      <c r="B34" s="112">
        <v>1960</v>
      </c>
      <c r="C34" s="112">
        <v>1965</v>
      </c>
      <c r="D34" s="112">
        <v>1970</v>
      </c>
      <c r="E34" s="112">
        <v>1975</v>
      </c>
      <c r="F34" s="112">
        <v>1980</v>
      </c>
      <c r="G34" s="112">
        <v>1985</v>
      </c>
      <c r="H34" s="112">
        <v>1990</v>
      </c>
      <c r="I34" s="112">
        <v>1995</v>
      </c>
      <c r="J34" s="112">
        <v>1999</v>
      </c>
      <c r="K34" s="112">
        <v>2000</v>
      </c>
      <c r="L34" s="112">
        <v>2001</v>
      </c>
      <c r="M34" s="112">
        <v>2002</v>
      </c>
      <c r="N34" s="112">
        <v>2003</v>
      </c>
      <c r="O34" s="112">
        <v>2004</v>
      </c>
      <c r="P34" s="112">
        <v>2005</v>
      </c>
    </row>
    <row r="35" spans="2:16" s="112" customFormat="1" ht="15.75">
      <c r="B35" s="112">
        <v>24.3</v>
      </c>
      <c r="C35" s="112">
        <v>16.88</v>
      </c>
      <c r="D35" s="112">
        <v>9.03</v>
      </c>
      <c r="E35" s="112">
        <v>6.29</v>
      </c>
      <c r="F35" s="112">
        <v>3.47</v>
      </c>
      <c r="G35" s="112">
        <v>2.45</v>
      </c>
      <c r="H35" s="112">
        <v>2.39</v>
      </c>
      <c r="I35" s="112">
        <v>2.44</v>
      </c>
      <c r="J35" s="112">
        <v>2.02</v>
      </c>
      <c r="K35" s="112">
        <v>1.97</v>
      </c>
      <c r="L35" s="112">
        <v>1.72</v>
      </c>
      <c r="M35" s="112">
        <v>1.75</v>
      </c>
      <c r="N35" s="112">
        <v>1.72</v>
      </c>
      <c r="O35" s="112">
        <v>1.69</v>
      </c>
      <c r="P35" s="112">
        <v>1.75</v>
      </c>
    </row>
  </sheetData>
  <mergeCells count="13">
    <mergeCell ref="C14:K14"/>
    <mergeCell ref="J10:K10"/>
    <mergeCell ref="J11:K11"/>
    <mergeCell ref="J12:K12"/>
    <mergeCell ref="A13:B13"/>
    <mergeCell ref="C13:K13"/>
    <mergeCell ref="J9:K9"/>
    <mergeCell ref="J4:K4"/>
    <mergeCell ref="J3:K3"/>
    <mergeCell ref="J8:K8"/>
    <mergeCell ref="J7:K7"/>
    <mergeCell ref="J6:K6"/>
    <mergeCell ref="J5:K5"/>
  </mergeCells>
  <printOptions/>
  <pageMargins left="0.34" right="0.75" top="0.65" bottom="0.52" header="0.5" footer="0.5"/>
  <pageSetup horizontalDpi="300" verticalDpi="300" orientation="landscape" paperSize="9" scale="86" r:id="rId2"/>
  <headerFooter alignWithMargins="0">
    <oddFooter>&amp;C14</oddFooter>
  </headerFooter>
  <drawing r:id="rId1"/>
</worksheet>
</file>

<file path=xl/worksheets/sheet16.xml><?xml version="1.0" encoding="utf-8"?>
<worksheet xmlns="http://schemas.openxmlformats.org/spreadsheetml/2006/main" xmlns:r="http://schemas.openxmlformats.org/officeDocument/2006/relationships">
  <sheetPr>
    <tabColor indexed="12"/>
  </sheetPr>
  <dimension ref="A1:E28"/>
  <sheetViews>
    <sheetView showGridLines="0" workbookViewId="0" topLeftCell="A10">
      <selection activeCell="A8" sqref="A8:E8"/>
    </sheetView>
  </sheetViews>
  <sheetFormatPr defaultColWidth="9.00390625" defaultRowHeight="12.75"/>
  <cols>
    <col min="1" max="1" width="22.375" style="1" customWidth="1"/>
    <col min="2" max="2" width="19.75390625" style="1" customWidth="1"/>
    <col min="3" max="3" width="16.00390625" style="1" customWidth="1"/>
    <col min="4" max="5" width="13.625" style="1" bestFit="1" customWidth="1"/>
    <col min="6" max="16384" width="9.125" style="1" customWidth="1"/>
  </cols>
  <sheetData>
    <row r="1" spans="1:5" ht="16.5" customHeight="1">
      <c r="A1" s="525" t="s">
        <v>178</v>
      </c>
      <c r="B1" s="483"/>
      <c r="C1" s="483"/>
      <c r="D1" s="483"/>
      <c r="E1" s="483"/>
    </row>
    <row r="2" s="14" customFormat="1" ht="24" customHeight="1" thickBot="1">
      <c r="A2" s="16" t="s">
        <v>13</v>
      </c>
    </row>
    <row r="3" spans="1:5" ht="18.75" customHeight="1" thickTop="1">
      <c r="A3" s="561" t="s">
        <v>12</v>
      </c>
      <c r="B3" s="562"/>
      <c r="C3" s="562"/>
      <c r="D3" s="562"/>
      <c r="E3" s="563"/>
    </row>
    <row r="4" spans="1:5" ht="18" customHeight="1">
      <c r="A4" s="213" t="s">
        <v>175</v>
      </c>
      <c r="B4" s="214" t="s">
        <v>237</v>
      </c>
      <c r="C4" s="552" t="s">
        <v>241</v>
      </c>
      <c r="D4" s="553"/>
      <c r="E4" s="554"/>
    </row>
    <row r="5" spans="1:5" ht="17.25" customHeight="1">
      <c r="A5" s="213" t="s">
        <v>176</v>
      </c>
      <c r="B5" s="215">
        <v>380461500</v>
      </c>
      <c r="C5" s="552" t="s">
        <v>238</v>
      </c>
      <c r="D5" s="553"/>
      <c r="E5" s="554" t="s">
        <v>56</v>
      </c>
    </row>
    <row r="6" spans="1:5" ht="19.5" customHeight="1">
      <c r="A6" s="558" t="s">
        <v>478</v>
      </c>
      <c r="B6" s="559"/>
      <c r="C6" s="559"/>
      <c r="D6" s="559"/>
      <c r="E6" s="560"/>
    </row>
    <row r="7" spans="1:5" ht="17.25" customHeight="1">
      <c r="A7" s="213" t="s">
        <v>177</v>
      </c>
      <c r="B7" s="216">
        <v>481440000</v>
      </c>
      <c r="C7" s="552" t="s">
        <v>244</v>
      </c>
      <c r="D7" s="553"/>
      <c r="E7" s="554"/>
    </row>
    <row r="8" spans="1:5" ht="35.25" customHeight="1" thickBot="1">
      <c r="A8" s="555" t="s">
        <v>17</v>
      </c>
      <c r="B8" s="556"/>
      <c r="C8" s="556"/>
      <c r="D8" s="556"/>
      <c r="E8" s="557"/>
    </row>
    <row r="9" spans="1:3" ht="13.5" thickTop="1">
      <c r="A9" s="46"/>
      <c r="B9" s="45"/>
      <c r="C9" s="45"/>
    </row>
    <row r="10" ht="12.75">
      <c r="E10" s="1" t="s">
        <v>56</v>
      </c>
    </row>
    <row r="11" spans="1:5" ht="19.5" customHeight="1">
      <c r="A11" s="525" t="s">
        <v>461</v>
      </c>
      <c r="B11" s="483"/>
      <c r="C11" s="483"/>
      <c r="D11" s="483"/>
      <c r="E11" s="483" t="s">
        <v>56</v>
      </c>
    </row>
    <row r="12" ht="24.75" customHeight="1" thickBot="1">
      <c r="A12" s="16" t="s">
        <v>15</v>
      </c>
    </row>
    <row r="13" spans="1:5" ht="18.75" customHeight="1" thickTop="1">
      <c r="A13" s="217"/>
      <c r="B13" s="218" t="s">
        <v>169</v>
      </c>
      <c r="C13" s="218" t="s">
        <v>182</v>
      </c>
      <c r="D13" s="218" t="s">
        <v>206</v>
      </c>
      <c r="E13" s="219" t="s">
        <v>236</v>
      </c>
    </row>
    <row r="14" spans="1:5" ht="19.5" customHeight="1">
      <c r="A14" s="220" t="s">
        <v>168</v>
      </c>
      <c r="B14" s="221">
        <v>142306</v>
      </c>
      <c r="C14" s="221">
        <v>149163</v>
      </c>
      <c r="D14" s="221">
        <v>158034</v>
      </c>
      <c r="E14" s="222">
        <v>176717</v>
      </c>
    </row>
    <row r="15" spans="1:5" ht="21" customHeight="1">
      <c r="A15" s="220" t="s">
        <v>137</v>
      </c>
      <c r="B15" s="221">
        <v>569224</v>
      </c>
      <c r="C15" s="221">
        <f>+C14*4</f>
        <v>596652</v>
      </c>
      <c r="D15" s="221">
        <f>+D14*4</f>
        <v>632136</v>
      </c>
      <c r="E15" s="222">
        <f>+E14*4</f>
        <v>706868</v>
      </c>
    </row>
    <row r="16" spans="1:5" ht="21" customHeight="1">
      <c r="A16" s="220" t="s">
        <v>14</v>
      </c>
      <c r="B16" s="221">
        <f>SUM(B14:B15)</f>
        <v>711530</v>
      </c>
      <c r="C16" s="221">
        <f>SUM(C14:C15)</f>
        <v>745815</v>
      </c>
      <c r="D16" s="221">
        <f>SUM(D14:D15)</f>
        <v>790170</v>
      </c>
      <c r="E16" s="222">
        <f>SUM(E14:E15)</f>
        <v>883585</v>
      </c>
    </row>
    <row r="17" spans="1:5" ht="53.25" customHeight="1" thickBot="1">
      <c r="A17" s="223" t="s">
        <v>16</v>
      </c>
      <c r="B17" s="224">
        <v>31500000</v>
      </c>
      <c r="C17" s="224">
        <f>+D22</f>
        <v>49137494</v>
      </c>
      <c r="D17" s="224">
        <f>+D24</f>
        <v>68702373</v>
      </c>
      <c r="E17" s="225">
        <f>+D26</f>
        <v>66622500</v>
      </c>
    </row>
    <row r="18" spans="1:5" ht="15.75" customHeight="1" thickTop="1">
      <c r="A18" s="47"/>
      <c r="B18" s="48"/>
      <c r="C18" s="48"/>
      <c r="D18" s="48"/>
      <c r="E18" s="48"/>
    </row>
    <row r="19" ht="13.5" thickBot="1"/>
    <row r="20" spans="1:5" ht="52.5" customHeight="1" thickTop="1">
      <c r="A20" s="549" t="s">
        <v>179</v>
      </c>
      <c r="B20" s="521"/>
      <c r="C20" s="521"/>
      <c r="D20" s="550" t="s">
        <v>479</v>
      </c>
      <c r="E20" s="551"/>
    </row>
    <row r="21" spans="1:5" ht="24.75" customHeight="1">
      <c r="A21" s="546" t="s">
        <v>170</v>
      </c>
      <c r="B21" s="506"/>
      <c r="C21" s="506"/>
      <c r="D21" s="542">
        <v>41680800</v>
      </c>
      <c r="E21" s="543">
        <f>+(9262400*0.3)*15</f>
        <v>41680800</v>
      </c>
    </row>
    <row r="22" spans="1:5" ht="24.75" customHeight="1">
      <c r="A22" s="546" t="s">
        <v>171</v>
      </c>
      <c r="B22" s="506"/>
      <c r="C22" s="506"/>
      <c r="D22" s="542">
        <v>49137494</v>
      </c>
      <c r="E22" s="543">
        <f>+(10919443*0.3)*15</f>
        <v>49137493.5</v>
      </c>
    </row>
    <row r="23" spans="1:5" ht="24.75" customHeight="1">
      <c r="A23" s="546" t="s">
        <v>167</v>
      </c>
      <c r="B23" s="506"/>
      <c r="C23" s="506"/>
      <c r="D23" s="542">
        <v>58964994</v>
      </c>
      <c r="E23" s="543">
        <f>+(13103332*0.3)*15</f>
        <v>58964993.99999999</v>
      </c>
    </row>
    <row r="24" spans="1:5" ht="24.75" customHeight="1">
      <c r="A24" s="546" t="s">
        <v>204</v>
      </c>
      <c r="B24" s="506"/>
      <c r="C24" s="506"/>
      <c r="D24" s="542">
        <v>68702373</v>
      </c>
      <c r="E24" s="543">
        <f>+(15267194*0.3)*15</f>
        <v>68702373</v>
      </c>
    </row>
    <row r="25" spans="1:5" ht="24.75" customHeight="1">
      <c r="A25" s="546" t="s">
        <v>207</v>
      </c>
      <c r="B25" s="506"/>
      <c r="C25" s="506"/>
      <c r="D25" s="542">
        <v>82444500</v>
      </c>
      <c r="E25" s="543">
        <f>+(18321000*0.3)*15</f>
        <v>82444500</v>
      </c>
    </row>
    <row r="26" spans="1:5" ht="24" customHeight="1">
      <c r="A26" s="546" t="s">
        <v>208</v>
      </c>
      <c r="B26" s="506"/>
      <c r="C26" s="506"/>
      <c r="D26" s="542">
        <v>66622500</v>
      </c>
      <c r="E26" s="543">
        <f>+(14805000*0.3)*15</f>
        <v>66622500</v>
      </c>
    </row>
    <row r="27" spans="1:5" ht="21" customHeight="1">
      <c r="A27" s="546" t="s">
        <v>220</v>
      </c>
      <c r="B27" s="506"/>
      <c r="C27" s="506"/>
      <c r="D27" s="542">
        <v>73305000</v>
      </c>
      <c r="E27" s="543">
        <f>+(16290000*0.3)*15</f>
        <v>73305000</v>
      </c>
    </row>
    <row r="28" spans="1:5" ht="24.75" customHeight="1" thickBot="1">
      <c r="A28" s="547" t="s">
        <v>239</v>
      </c>
      <c r="B28" s="548"/>
      <c r="C28" s="548"/>
      <c r="D28" s="544">
        <v>79650000</v>
      </c>
      <c r="E28" s="545">
        <f>+(17700000*0.3)*15</f>
        <v>79650000</v>
      </c>
    </row>
    <row r="29" ht="13.5" thickTop="1"/>
  </sheetData>
  <mergeCells count="26">
    <mergeCell ref="A1:E1"/>
    <mergeCell ref="A11:E11"/>
    <mergeCell ref="C4:E4"/>
    <mergeCell ref="C5:E5"/>
    <mergeCell ref="C7:E7"/>
    <mergeCell ref="A8:E8"/>
    <mergeCell ref="A6:E6"/>
    <mergeCell ref="A3:E3"/>
    <mergeCell ref="A20:C20"/>
    <mergeCell ref="A21:C21"/>
    <mergeCell ref="A22:C22"/>
    <mergeCell ref="D24:E24"/>
    <mergeCell ref="D20:E20"/>
    <mergeCell ref="D21:E21"/>
    <mergeCell ref="D22:E22"/>
    <mergeCell ref="D25:E25"/>
    <mergeCell ref="D26:E26"/>
    <mergeCell ref="A23:C23"/>
    <mergeCell ref="A24:C24"/>
    <mergeCell ref="A25:C25"/>
    <mergeCell ref="A26:C26"/>
    <mergeCell ref="D23:E23"/>
    <mergeCell ref="D27:E27"/>
    <mergeCell ref="D28:E28"/>
    <mergeCell ref="A27:C27"/>
    <mergeCell ref="A28:C28"/>
  </mergeCells>
  <printOptions/>
  <pageMargins left="0.75" right="0.75" top="1" bottom="1" header="0.5" footer="0.5"/>
  <pageSetup horizontalDpi="300" verticalDpi="300" orientation="portrait" paperSize="9"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tabColor indexed="12"/>
  </sheetPr>
  <dimension ref="A1:I34"/>
  <sheetViews>
    <sheetView showGridLines="0" workbookViewId="0" topLeftCell="A25">
      <selection activeCell="A1" sqref="A1:G1"/>
    </sheetView>
  </sheetViews>
  <sheetFormatPr defaultColWidth="9.00390625" defaultRowHeight="12.75"/>
  <cols>
    <col min="1" max="1" width="2.75390625" style="1" customWidth="1"/>
    <col min="2" max="2" width="17.125" style="1" customWidth="1"/>
    <col min="3" max="3" width="17.00390625" style="1" customWidth="1"/>
    <col min="4" max="4" width="44.00390625" style="1" customWidth="1"/>
    <col min="5" max="5" width="30.125" style="1" customWidth="1"/>
    <col min="6" max="6" width="23.625" style="1" customWidth="1"/>
    <col min="7" max="7" width="13.00390625" style="1" customWidth="1"/>
    <col min="8" max="8" width="12.875" style="1" customWidth="1"/>
    <col min="9" max="9" width="19.875" style="1" customWidth="1"/>
    <col min="10" max="16384" width="9.125" style="1" customWidth="1"/>
  </cols>
  <sheetData>
    <row r="1" spans="1:7" ht="17.25" customHeight="1">
      <c r="A1" s="525" t="s">
        <v>462</v>
      </c>
      <c r="B1" s="483"/>
      <c r="C1" s="483"/>
      <c r="D1" s="483"/>
      <c r="E1" s="483"/>
      <c r="F1" s="483"/>
      <c r="G1" s="483"/>
    </row>
    <row r="2" spans="1:5" ht="18" customHeight="1" thickBot="1">
      <c r="A2" s="466" t="s">
        <v>19</v>
      </c>
      <c r="B2" s="568"/>
      <c r="C2" s="568"/>
      <c r="D2" s="568"/>
      <c r="E2" s="1" t="s">
        <v>56</v>
      </c>
    </row>
    <row r="3" spans="1:7" ht="15.75" customHeight="1" thickTop="1">
      <c r="A3" s="569" t="s">
        <v>18</v>
      </c>
      <c r="B3" s="570"/>
      <c r="C3" s="570"/>
      <c r="D3" s="570"/>
      <c r="E3" s="570"/>
      <c r="F3" s="570"/>
      <c r="G3" s="571"/>
    </row>
    <row r="4" spans="1:8" ht="21" customHeight="1">
      <c r="A4" s="226"/>
      <c r="B4" s="227" t="s">
        <v>196</v>
      </c>
      <c r="C4" s="228">
        <v>531</v>
      </c>
      <c r="D4" s="229" t="s">
        <v>221</v>
      </c>
      <c r="E4" s="230"/>
      <c r="F4" s="230"/>
      <c r="G4" s="231"/>
      <c r="H4" s="49"/>
    </row>
    <row r="5" spans="1:7" ht="15.75" customHeight="1">
      <c r="A5" s="232" t="s">
        <v>162</v>
      </c>
      <c r="B5" s="233" t="s">
        <v>163</v>
      </c>
      <c r="C5" s="233"/>
      <c r="D5" s="233"/>
      <c r="E5" s="233"/>
      <c r="F5" s="234" t="s">
        <v>56</v>
      </c>
      <c r="G5" s="235" t="s">
        <v>56</v>
      </c>
    </row>
    <row r="6" spans="1:7" ht="15.75" customHeight="1">
      <c r="A6" s="236" t="s">
        <v>100</v>
      </c>
      <c r="B6" s="233" t="s">
        <v>183</v>
      </c>
      <c r="C6" s="233"/>
      <c r="D6" s="233"/>
      <c r="E6" s="233" t="s">
        <v>197</v>
      </c>
      <c r="F6" s="237">
        <f>+C4*3</f>
        <v>1593</v>
      </c>
      <c r="G6" s="235" t="s">
        <v>221</v>
      </c>
    </row>
    <row r="7" spans="1:7" ht="15.75" customHeight="1">
      <c r="A7" s="236" t="s">
        <v>100</v>
      </c>
      <c r="B7" s="233" t="s">
        <v>184</v>
      </c>
      <c r="C7" s="233"/>
      <c r="D7" s="233"/>
      <c r="E7" s="233" t="s">
        <v>198</v>
      </c>
      <c r="F7" s="237">
        <f>+C4*2</f>
        <v>1062</v>
      </c>
      <c r="G7" s="235" t="s">
        <v>221</v>
      </c>
    </row>
    <row r="8" spans="1:7" ht="15.75" customHeight="1">
      <c r="A8" s="236" t="s">
        <v>100</v>
      </c>
      <c r="B8" s="233" t="s">
        <v>185</v>
      </c>
      <c r="C8" s="233"/>
      <c r="D8" s="233"/>
      <c r="E8" s="233" t="s">
        <v>199</v>
      </c>
      <c r="F8" s="237">
        <f>+C4*1</f>
        <v>531</v>
      </c>
      <c r="G8" s="235" t="s">
        <v>221</v>
      </c>
    </row>
    <row r="9" spans="1:9" ht="15.75" customHeight="1">
      <c r="A9" s="232" t="s">
        <v>162</v>
      </c>
      <c r="B9" s="233" t="s">
        <v>164</v>
      </c>
      <c r="C9" s="233"/>
      <c r="D9" s="233"/>
      <c r="E9" s="233"/>
      <c r="F9" s="237" t="s">
        <v>56</v>
      </c>
      <c r="G9" s="235" t="s">
        <v>56</v>
      </c>
      <c r="H9" s="50"/>
      <c r="I9" s="51"/>
    </row>
    <row r="10" spans="1:9" ht="15.75" customHeight="1">
      <c r="A10" s="236" t="s">
        <v>100</v>
      </c>
      <c r="B10" s="233" t="s">
        <v>186</v>
      </c>
      <c r="C10" s="233"/>
      <c r="D10" s="233"/>
      <c r="E10" s="233" t="s">
        <v>199</v>
      </c>
      <c r="F10" s="237">
        <f>+C4*1</f>
        <v>531</v>
      </c>
      <c r="G10" s="235" t="s">
        <v>221</v>
      </c>
      <c r="H10" s="50"/>
      <c r="I10" s="51"/>
    </row>
    <row r="11" spans="1:9" ht="15.75" customHeight="1">
      <c r="A11" s="236" t="s">
        <v>100</v>
      </c>
      <c r="B11" s="233" t="s">
        <v>187</v>
      </c>
      <c r="C11" s="233"/>
      <c r="D11" s="233"/>
      <c r="E11" s="233" t="s">
        <v>198</v>
      </c>
      <c r="F11" s="237">
        <f>+C4*2</f>
        <v>1062</v>
      </c>
      <c r="G11" s="235" t="s">
        <v>221</v>
      </c>
      <c r="H11" s="50"/>
      <c r="I11" s="51"/>
    </row>
    <row r="12" spans="1:7" ht="15.75" customHeight="1">
      <c r="A12" s="232" t="s">
        <v>162</v>
      </c>
      <c r="B12" s="233" t="s">
        <v>165</v>
      </c>
      <c r="C12" s="233"/>
      <c r="D12" s="233"/>
      <c r="E12" s="233"/>
      <c r="F12" s="237" t="s">
        <v>56</v>
      </c>
      <c r="G12" s="235" t="s">
        <v>56</v>
      </c>
    </row>
    <row r="13" spans="1:7" ht="15.75" customHeight="1">
      <c r="A13" s="236" t="s">
        <v>100</v>
      </c>
      <c r="B13" s="233" t="s">
        <v>188</v>
      </c>
      <c r="C13" s="233"/>
      <c r="D13" s="233"/>
      <c r="E13" s="233" t="s">
        <v>200</v>
      </c>
      <c r="F13" s="237">
        <f>+C4/5</f>
        <v>106.2</v>
      </c>
      <c r="G13" s="235" t="s">
        <v>221</v>
      </c>
    </row>
    <row r="14" spans="1:7" ht="15.75" customHeight="1">
      <c r="A14" s="236" t="s">
        <v>100</v>
      </c>
      <c r="B14" s="233" t="s">
        <v>189</v>
      </c>
      <c r="C14" s="233"/>
      <c r="D14" s="233"/>
      <c r="E14" s="233" t="s">
        <v>201</v>
      </c>
      <c r="F14" s="237">
        <f>+C4/8</f>
        <v>66.375</v>
      </c>
      <c r="G14" s="235" t="s">
        <v>221</v>
      </c>
    </row>
    <row r="15" spans="1:7" ht="15.75" customHeight="1">
      <c r="A15" s="236" t="s">
        <v>100</v>
      </c>
      <c r="B15" s="233" t="s">
        <v>190</v>
      </c>
      <c r="C15" s="233"/>
      <c r="D15" s="233"/>
      <c r="E15" s="233" t="s">
        <v>197</v>
      </c>
      <c r="F15" s="237">
        <f>+C4*3</f>
        <v>1593</v>
      </c>
      <c r="G15" s="235" t="s">
        <v>221</v>
      </c>
    </row>
    <row r="16" spans="1:7" ht="15.75" customHeight="1">
      <c r="A16" s="236" t="s">
        <v>100</v>
      </c>
      <c r="B16" s="233" t="s">
        <v>217</v>
      </c>
      <c r="C16" s="233"/>
      <c r="D16" s="233"/>
      <c r="E16" s="233"/>
      <c r="F16" s="237"/>
      <c r="G16" s="235" t="s">
        <v>56</v>
      </c>
    </row>
    <row r="17" spans="1:7" ht="15.75" customHeight="1">
      <c r="A17" s="236" t="s">
        <v>56</v>
      </c>
      <c r="B17" s="233" t="s">
        <v>218</v>
      </c>
      <c r="C17" s="233"/>
      <c r="D17" s="233"/>
      <c r="E17" s="233"/>
      <c r="F17" s="237" t="s">
        <v>56</v>
      </c>
      <c r="G17" s="235"/>
    </row>
    <row r="18" spans="1:7" ht="15.75" customHeight="1">
      <c r="A18" s="236"/>
      <c r="B18" s="233" t="s">
        <v>211</v>
      </c>
      <c r="C18" s="233"/>
      <c r="D18" s="233"/>
      <c r="E18" s="233"/>
      <c r="F18" s="237"/>
      <c r="G18" s="235"/>
    </row>
    <row r="19" spans="1:7" ht="15.75" customHeight="1">
      <c r="A19" s="236"/>
      <c r="B19" s="233" t="s">
        <v>213</v>
      </c>
      <c r="C19" s="233"/>
      <c r="D19" s="233"/>
      <c r="E19" s="233"/>
      <c r="F19" s="237"/>
      <c r="G19" s="235"/>
    </row>
    <row r="20" spans="1:7" ht="15.75" customHeight="1">
      <c r="A20" s="236"/>
      <c r="B20" s="233" t="s">
        <v>212</v>
      </c>
      <c r="C20" s="233"/>
      <c r="D20" s="233"/>
      <c r="E20" s="233" t="s">
        <v>197</v>
      </c>
      <c r="F20" s="237">
        <f>+C4*3</f>
        <v>1593</v>
      </c>
      <c r="G20" s="235" t="s">
        <v>221</v>
      </c>
    </row>
    <row r="21" spans="1:7" ht="15.75" customHeight="1">
      <c r="A21" s="236" t="s">
        <v>100</v>
      </c>
      <c r="B21" s="233" t="s">
        <v>214</v>
      </c>
      <c r="C21" s="233"/>
      <c r="D21" s="233"/>
      <c r="E21" s="233"/>
      <c r="F21" s="237"/>
      <c r="G21" s="235" t="s">
        <v>56</v>
      </c>
    </row>
    <row r="22" spans="1:7" ht="15.75" customHeight="1">
      <c r="A22" s="236"/>
      <c r="B22" s="233" t="s">
        <v>215</v>
      </c>
      <c r="C22" s="233"/>
      <c r="D22" s="233"/>
      <c r="E22" s="233"/>
      <c r="F22" s="237"/>
      <c r="G22" s="235"/>
    </row>
    <row r="23" spans="1:7" ht="15.75" customHeight="1">
      <c r="A23" s="236"/>
      <c r="B23" s="233" t="s">
        <v>216</v>
      </c>
      <c r="C23" s="233"/>
      <c r="D23" s="233"/>
      <c r="E23" s="233" t="s">
        <v>197</v>
      </c>
      <c r="F23" s="237">
        <f>+C4*3</f>
        <v>1593</v>
      </c>
      <c r="G23" s="235" t="s">
        <v>221</v>
      </c>
    </row>
    <row r="24" spans="1:7" ht="15.75" customHeight="1">
      <c r="A24" s="232" t="s">
        <v>162</v>
      </c>
      <c r="B24" s="233" t="s">
        <v>191</v>
      </c>
      <c r="C24" s="233"/>
      <c r="D24" s="233"/>
      <c r="E24" s="233"/>
      <c r="F24" s="234" t="s">
        <v>56</v>
      </c>
      <c r="G24" s="235" t="s">
        <v>56</v>
      </c>
    </row>
    <row r="25" spans="1:7" ht="15.75" customHeight="1">
      <c r="A25" s="236" t="s">
        <v>100</v>
      </c>
      <c r="B25" s="564" t="s">
        <v>192</v>
      </c>
      <c r="C25" s="565"/>
      <c r="D25" s="565"/>
      <c r="E25" s="233" t="s">
        <v>202</v>
      </c>
      <c r="F25" s="237">
        <f>+C4*12</f>
        <v>6372</v>
      </c>
      <c r="G25" s="235" t="s">
        <v>221</v>
      </c>
    </row>
    <row r="26" spans="1:7" ht="15.75" customHeight="1">
      <c r="A26" s="236" t="s">
        <v>100</v>
      </c>
      <c r="B26" s="233" t="s">
        <v>193</v>
      </c>
      <c r="C26" s="233"/>
      <c r="D26" s="233"/>
      <c r="E26" s="233" t="s">
        <v>203</v>
      </c>
      <c r="F26" s="237">
        <f>+C4*6</f>
        <v>3186</v>
      </c>
      <c r="G26" s="235" t="s">
        <v>221</v>
      </c>
    </row>
    <row r="27" spans="1:9" ht="15.75" customHeight="1">
      <c r="A27" s="236" t="s">
        <v>100</v>
      </c>
      <c r="B27" s="233" t="s">
        <v>194</v>
      </c>
      <c r="C27" s="233"/>
      <c r="D27" s="233"/>
      <c r="E27" s="233" t="s">
        <v>197</v>
      </c>
      <c r="F27" s="237">
        <f>+C4*3</f>
        <v>1593</v>
      </c>
      <c r="G27" s="235" t="s">
        <v>221</v>
      </c>
      <c r="I27" s="52"/>
    </row>
    <row r="28" spans="1:9" ht="15.75" customHeight="1">
      <c r="A28" s="232" t="s">
        <v>162</v>
      </c>
      <c r="B28" s="566" t="s">
        <v>209</v>
      </c>
      <c r="C28" s="567"/>
      <c r="D28" s="567"/>
      <c r="E28" s="567"/>
      <c r="F28" s="567"/>
      <c r="G28" s="572"/>
      <c r="I28" s="52"/>
    </row>
    <row r="29" spans="1:9" ht="15.75" customHeight="1">
      <c r="A29" s="236" t="s">
        <v>100</v>
      </c>
      <c r="B29" s="564" t="s">
        <v>192</v>
      </c>
      <c r="C29" s="565"/>
      <c r="D29" s="565"/>
      <c r="E29" s="233" t="s">
        <v>210</v>
      </c>
      <c r="F29" s="237">
        <f>+C4*1/2</f>
        <v>265.5</v>
      </c>
      <c r="G29" s="235" t="s">
        <v>221</v>
      </c>
      <c r="I29" s="52"/>
    </row>
    <row r="30" spans="1:9" ht="15.75" customHeight="1">
      <c r="A30" s="236" t="s">
        <v>100</v>
      </c>
      <c r="B30" s="233" t="s">
        <v>193</v>
      </c>
      <c r="C30" s="233"/>
      <c r="D30" s="233"/>
      <c r="E30" s="233" t="s">
        <v>210</v>
      </c>
      <c r="F30" s="237">
        <f>+C4*1/2</f>
        <v>265.5</v>
      </c>
      <c r="G30" s="235" t="s">
        <v>221</v>
      </c>
      <c r="I30" s="52"/>
    </row>
    <row r="31" spans="1:9" ht="15.75" customHeight="1">
      <c r="A31" s="236" t="s">
        <v>100</v>
      </c>
      <c r="B31" s="233" t="s">
        <v>194</v>
      </c>
      <c r="C31" s="233"/>
      <c r="D31" s="233"/>
      <c r="E31" s="233" t="s">
        <v>210</v>
      </c>
      <c r="F31" s="237">
        <f>+C4*1/2</f>
        <v>265.5</v>
      </c>
      <c r="G31" s="235" t="s">
        <v>221</v>
      </c>
      <c r="I31" s="52"/>
    </row>
    <row r="32" spans="1:7" ht="29.25" customHeight="1">
      <c r="A32" s="232" t="s">
        <v>162</v>
      </c>
      <c r="B32" s="566" t="s">
        <v>195</v>
      </c>
      <c r="C32" s="567"/>
      <c r="D32" s="567"/>
      <c r="E32" s="233" t="s">
        <v>198</v>
      </c>
      <c r="F32" s="237">
        <f>+C4*2</f>
        <v>1062</v>
      </c>
      <c r="G32" s="235" t="s">
        <v>221</v>
      </c>
    </row>
    <row r="33" spans="1:7" ht="15.75" customHeight="1" thickBot="1">
      <c r="A33" s="238" t="s">
        <v>162</v>
      </c>
      <c r="B33" s="239" t="s">
        <v>166</v>
      </c>
      <c r="C33" s="239"/>
      <c r="D33" s="239"/>
      <c r="E33" s="239" t="s">
        <v>199</v>
      </c>
      <c r="F33" s="240">
        <f>+C4*1</f>
        <v>531</v>
      </c>
      <c r="G33" s="241" t="s">
        <v>221</v>
      </c>
    </row>
    <row r="34" spans="4:8" ht="13.5" thickTop="1">
      <c r="D34" s="40"/>
      <c r="E34" s="40"/>
      <c r="H34" s="40"/>
    </row>
  </sheetData>
  <mergeCells count="7">
    <mergeCell ref="B29:D29"/>
    <mergeCell ref="B32:D32"/>
    <mergeCell ref="A1:G1"/>
    <mergeCell ref="A2:D2"/>
    <mergeCell ref="A3:G3"/>
    <mergeCell ref="B25:D25"/>
    <mergeCell ref="B28:G28"/>
  </mergeCells>
  <printOptions/>
  <pageMargins left="0.75" right="0.75" top="1" bottom="1" header="0.5" footer="0.5"/>
  <pageSetup horizontalDpi="300" verticalDpi="300" orientation="landscape" paperSize="9" scale="83"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sheetPr>
    <tabColor indexed="12"/>
  </sheetPr>
  <dimension ref="A1:J52"/>
  <sheetViews>
    <sheetView showGridLines="0" zoomScale="115" zoomScaleNormal="115" workbookViewId="0" topLeftCell="A1">
      <selection activeCell="A2" sqref="A2:E2"/>
    </sheetView>
  </sheetViews>
  <sheetFormatPr defaultColWidth="9.00390625" defaultRowHeight="12.75"/>
  <cols>
    <col min="1" max="1" width="20.00390625" style="6" customWidth="1"/>
    <col min="2" max="2" width="8.125" style="6" customWidth="1"/>
    <col min="3" max="3" width="12.75390625" style="6" customWidth="1"/>
    <col min="4" max="4" width="13.00390625" style="6" customWidth="1"/>
    <col min="5" max="5" width="19.125" style="6" customWidth="1"/>
    <col min="6" max="6" width="7.75390625" style="6" customWidth="1"/>
    <col min="7" max="7" width="16.00390625" style="6" customWidth="1"/>
    <col min="8" max="16384" width="9.125" style="6" customWidth="1"/>
  </cols>
  <sheetData>
    <row r="1" spans="1:7" ht="45" customHeight="1">
      <c r="A1" s="582" t="s">
        <v>463</v>
      </c>
      <c r="B1" s="583"/>
      <c r="C1" s="583"/>
      <c r="D1" s="583"/>
      <c r="E1" s="583"/>
      <c r="F1" s="583"/>
      <c r="G1" s="583"/>
    </row>
    <row r="2" spans="1:5" ht="15.75" customHeight="1" thickBot="1">
      <c r="A2" s="577" t="s">
        <v>21</v>
      </c>
      <c r="B2" s="578"/>
      <c r="C2" s="578"/>
      <c r="D2" s="578"/>
      <c r="E2" s="578"/>
    </row>
    <row r="3" spans="1:7" ht="19.5" customHeight="1" thickTop="1">
      <c r="A3" s="53" t="s">
        <v>138</v>
      </c>
      <c r="B3" s="54"/>
      <c r="C3" s="54" t="s">
        <v>139</v>
      </c>
      <c r="D3" s="54" t="s">
        <v>140</v>
      </c>
      <c r="E3" s="54" t="s">
        <v>138</v>
      </c>
      <c r="F3" s="54"/>
      <c r="G3" s="55" t="s">
        <v>225</v>
      </c>
    </row>
    <row r="4" spans="1:7" ht="28.5" customHeight="1">
      <c r="A4" s="67" t="s">
        <v>174</v>
      </c>
      <c r="B4" s="68"/>
      <c r="C4" s="69"/>
      <c r="D4" s="69"/>
      <c r="E4" s="70" t="s">
        <v>174</v>
      </c>
      <c r="F4" s="68"/>
      <c r="G4" s="71"/>
    </row>
    <row r="5" spans="1:7" ht="16.5" customHeight="1">
      <c r="A5" s="59"/>
      <c r="B5" s="66" t="s">
        <v>142</v>
      </c>
      <c r="C5" s="57">
        <v>3790000</v>
      </c>
      <c r="D5" s="57">
        <v>6070000</v>
      </c>
      <c r="E5" s="60"/>
      <c r="F5" s="66" t="s">
        <v>142</v>
      </c>
      <c r="G5" s="58">
        <v>3120000</v>
      </c>
    </row>
    <row r="6" spans="1:7" ht="16.5" customHeight="1">
      <c r="A6" s="61" t="s">
        <v>56</v>
      </c>
      <c r="B6" s="66" t="s">
        <v>143</v>
      </c>
      <c r="C6" s="57">
        <f>+C5*30</f>
        <v>113700000</v>
      </c>
      <c r="D6" s="57">
        <f>+D5*30</f>
        <v>182100000</v>
      </c>
      <c r="E6" s="62" t="s">
        <v>56</v>
      </c>
      <c r="F6" s="66" t="s">
        <v>143</v>
      </c>
      <c r="G6" s="58">
        <f>+G5*30</f>
        <v>93600000</v>
      </c>
    </row>
    <row r="7" spans="1:7" ht="16.5" customHeight="1">
      <c r="A7" s="72" t="s">
        <v>173</v>
      </c>
      <c r="B7" s="73"/>
      <c r="C7" s="69"/>
      <c r="D7" s="69"/>
      <c r="E7" s="68" t="s">
        <v>228</v>
      </c>
      <c r="F7" s="73"/>
      <c r="G7" s="71"/>
    </row>
    <row r="8" spans="1:7" ht="16.5" customHeight="1">
      <c r="A8" s="63"/>
      <c r="B8" s="66" t="s">
        <v>142</v>
      </c>
      <c r="C8" s="57">
        <v>4000000</v>
      </c>
      <c r="D8" s="57">
        <f>+C8*3</f>
        <v>12000000</v>
      </c>
      <c r="E8" s="56"/>
      <c r="F8" s="66" t="s">
        <v>142</v>
      </c>
      <c r="G8" s="58">
        <v>3660000</v>
      </c>
    </row>
    <row r="9" spans="1:7" ht="16.5" customHeight="1">
      <c r="A9" s="63"/>
      <c r="B9" s="66" t="s">
        <v>143</v>
      </c>
      <c r="C9" s="57">
        <f>+C8*30</f>
        <v>120000000</v>
      </c>
      <c r="D9" s="57">
        <f>+D8*30</f>
        <v>360000000</v>
      </c>
      <c r="E9" s="56"/>
      <c r="F9" s="66" t="s">
        <v>143</v>
      </c>
      <c r="G9" s="58">
        <f>+G8*30</f>
        <v>109800000</v>
      </c>
    </row>
    <row r="10" spans="1:7" ht="16.5" customHeight="1">
      <c r="A10" s="72" t="s">
        <v>180</v>
      </c>
      <c r="B10" s="73"/>
      <c r="C10" s="68"/>
      <c r="D10" s="68"/>
      <c r="E10" s="68" t="s">
        <v>226</v>
      </c>
      <c r="F10" s="73"/>
      <c r="G10" s="71"/>
    </row>
    <row r="11" spans="1:7" ht="16.5" customHeight="1">
      <c r="A11" s="63"/>
      <c r="B11" s="66" t="s">
        <v>142</v>
      </c>
      <c r="C11" s="57">
        <v>5000000</v>
      </c>
      <c r="D11" s="57">
        <f>+C11*3</f>
        <v>15000000</v>
      </c>
      <c r="E11" s="56"/>
      <c r="F11" s="66" t="s">
        <v>142</v>
      </c>
      <c r="G11" s="58">
        <v>3960000</v>
      </c>
    </row>
    <row r="12" spans="1:7" ht="16.5" customHeight="1">
      <c r="A12" s="63"/>
      <c r="B12" s="66" t="s">
        <v>143</v>
      </c>
      <c r="C12" s="57">
        <f>+C11*30</f>
        <v>150000000</v>
      </c>
      <c r="D12" s="57">
        <f>+D11*30</f>
        <v>450000000</v>
      </c>
      <c r="E12" s="56"/>
      <c r="F12" s="66" t="s">
        <v>143</v>
      </c>
      <c r="G12" s="58">
        <f>+G11*30</f>
        <v>118800000</v>
      </c>
    </row>
    <row r="13" spans="1:7" ht="16.5" customHeight="1">
      <c r="A13" s="72" t="s">
        <v>181</v>
      </c>
      <c r="B13" s="73"/>
      <c r="C13" s="68"/>
      <c r="D13" s="68"/>
      <c r="E13" s="68" t="s">
        <v>227</v>
      </c>
      <c r="F13" s="73"/>
      <c r="G13" s="71"/>
    </row>
    <row r="14" spans="1:10" ht="16.5" customHeight="1">
      <c r="A14" s="63"/>
      <c r="B14" s="66" t="s">
        <v>142</v>
      </c>
      <c r="C14" s="57">
        <v>5000000</v>
      </c>
      <c r="D14" s="57">
        <f>+C14*4</f>
        <v>20000000</v>
      </c>
      <c r="E14" s="56"/>
      <c r="F14" s="66" t="s">
        <v>142</v>
      </c>
      <c r="G14" s="58">
        <v>4665000</v>
      </c>
      <c r="H14" s="74"/>
      <c r="I14" s="74"/>
      <c r="J14" s="74"/>
    </row>
    <row r="15" spans="1:10" ht="16.5" customHeight="1">
      <c r="A15" s="63"/>
      <c r="B15" s="66" t="s">
        <v>143</v>
      </c>
      <c r="C15" s="57">
        <f>+C14*30</f>
        <v>150000000</v>
      </c>
      <c r="D15" s="57">
        <f>+D14*30</f>
        <v>600000000</v>
      </c>
      <c r="E15" s="56"/>
      <c r="F15" s="66" t="s">
        <v>143</v>
      </c>
      <c r="G15" s="58">
        <f>+G14*30</f>
        <v>139950000</v>
      </c>
      <c r="H15" s="74"/>
      <c r="I15" s="74"/>
      <c r="J15" s="74"/>
    </row>
    <row r="16" spans="1:10" ht="16.5" customHeight="1">
      <c r="A16" s="72" t="s">
        <v>141</v>
      </c>
      <c r="B16" s="73"/>
      <c r="C16" s="68"/>
      <c r="D16" s="68"/>
      <c r="E16" s="68" t="s">
        <v>229</v>
      </c>
      <c r="F16" s="73"/>
      <c r="G16" s="71"/>
      <c r="H16" s="74"/>
      <c r="I16" s="74"/>
      <c r="J16" s="74"/>
    </row>
    <row r="17" spans="1:10" ht="16.5" customHeight="1">
      <c r="A17" s="63"/>
      <c r="B17" s="66" t="s">
        <v>142</v>
      </c>
      <c r="C17" s="57">
        <v>7000000</v>
      </c>
      <c r="D17" s="57">
        <v>35000000</v>
      </c>
      <c r="E17" s="56"/>
      <c r="F17" s="66" t="s">
        <v>142</v>
      </c>
      <c r="G17" s="58">
        <v>4898250</v>
      </c>
      <c r="H17" s="74"/>
      <c r="I17" s="74"/>
      <c r="J17" s="74"/>
    </row>
    <row r="18" spans="1:7" ht="16.5" customHeight="1">
      <c r="A18" s="63"/>
      <c r="B18" s="66" t="s">
        <v>143</v>
      </c>
      <c r="C18" s="57">
        <v>210000000</v>
      </c>
      <c r="D18" s="57">
        <v>1050000000</v>
      </c>
      <c r="E18" s="56"/>
      <c r="F18" s="66" t="s">
        <v>143</v>
      </c>
      <c r="G18" s="58">
        <f>+G17*30</f>
        <v>146947500</v>
      </c>
    </row>
    <row r="19" spans="1:7" ht="16.5" customHeight="1">
      <c r="A19" s="72" t="s">
        <v>144</v>
      </c>
      <c r="B19" s="73"/>
      <c r="C19" s="69"/>
      <c r="D19" s="69"/>
      <c r="E19" s="68" t="s">
        <v>230</v>
      </c>
      <c r="F19" s="73"/>
      <c r="G19" s="71"/>
    </row>
    <row r="20" spans="1:7" ht="16.5" customHeight="1">
      <c r="A20" s="63"/>
      <c r="B20" s="66" t="s">
        <v>142</v>
      </c>
      <c r="C20" s="57">
        <v>9262400</v>
      </c>
      <c r="D20" s="57">
        <v>46312000</v>
      </c>
      <c r="E20" s="56"/>
      <c r="F20" s="66" t="s">
        <v>142</v>
      </c>
      <c r="G20" s="58">
        <v>5598000</v>
      </c>
    </row>
    <row r="21" spans="1:7" ht="16.5" customHeight="1">
      <c r="A21" s="63"/>
      <c r="B21" s="66" t="s">
        <v>143</v>
      </c>
      <c r="C21" s="57">
        <v>277872000</v>
      </c>
      <c r="D21" s="57">
        <v>1389360000</v>
      </c>
      <c r="E21" s="56"/>
      <c r="F21" s="66" t="s">
        <v>143</v>
      </c>
      <c r="G21" s="58">
        <f>+G20*30</f>
        <v>167940000</v>
      </c>
    </row>
    <row r="22" spans="1:7" ht="16.5" customHeight="1">
      <c r="A22" s="72" t="s">
        <v>145</v>
      </c>
      <c r="B22" s="73"/>
      <c r="C22" s="69"/>
      <c r="D22" s="69"/>
      <c r="E22" s="68" t="s">
        <v>231</v>
      </c>
      <c r="F22" s="73"/>
      <c r="G22" s="71"/>
    </row>
    <row r="23" spans="1:7" ht="16.5" customHeight="1">
      <c r="A23" s="63"/>
      <c r="B23" s="66" t="s">
        <v>142</v>
      </c>
      <c r="C23" s="57">
        <v>10919443</v>
      </c>
      <c r="D23" s="57">
        <v>54597215</v>
      </c>
      <c r="E23" s="56"/>
      <c r="F23" s="66" t="s">
        <v>142</v>
      </c>
      <c r="G23" s="58">
        <v>7400025</v>
      </c>
    </row>
    <row r="24" spans="1:7" ht="16.5" customHeight="1">
      <c r="A24" s="63"/>
      <c r="B24" s="66" t="s">
        <v>143</v>
      </c>
      <c r="C24" s="57">
        <v>327583290</v>
      </c>
      <c r="D24" s="57">
        <v>1637916450</v>
      </c>
      <c r="E24" s="56"/>
      <c r="F24" s="66" t="s">
        <v>143</v>
      </c>
      <c r="G24" s="58">
        <f>+G23*30</f>
        <v>222000750</v>
      </c>
    </row>
    <row r="25" spans="1:7" ht="16.5" customHeight="1">
      <c r="A25" s="72" t="s">
        <v>167</v>
      </c>
      <c r="B25" s="73"/>
      <c r="C25" s="69"/>
      <c r="D25" s="69"/>
      <c r="E25" s="68" t="s">
        <v>232</v>
      </c>
      <c r="F25" s="73"/>
      <c r="G25" s="71"/>
    </row>
    <row r="26" spans="1:7" ht="16.5" customHeight="1">
      <c r="A26" s="63"/>
      <c r="B26" s="66" t="s">
        <v>142</v>
      </c>
      <c r="C26" s="57">
        <v>13103332</v>
      </c>
      <c r="D26" s="57">
        <f>+C26*5</f>
        <v>65516660</v>
      </c>
      <c r="E26" s="56"/>
      <c r="F26" s="66" t="s">
        <v>142</v>
      </c>
      <c r="G26" s="58">
        <v>8362500</v>
      </c>
    </row>
    <row r="27" spans="1:7" ht="16.5" customHeight="1">
      <c r="A27" s="63"/>
      <c r="B27" s="66" t="s">
        <v>143</v>
      </c>
      <c r="C27" s="57">
        <f>+C26*30</f>
        <v>393099960</v>
      </c>
      <c r="D27" s="57">
        <f>+D26*30</f>
        <v>1965499800</v>
      </c>
      <c r="E27" s="56"/>
      <c r="F27" s="66" t="s">
        <v>143</v>
      </c>
      <c r="G27" s="58">
        <f>+G26*30</f>
        <v>250875000</v>
      </c>
    </row>
    <row r="28" spans="1:7" ht="16.5" customHeight="1">
      <c r="A28" s="72" t="s">
        <v>204</v>
      </c>
      <c r="B28" s="73"/>
      <c r="C28" s="69"/>
      <c r="D28" s="69"/>
      <c r="E28" s="68" t="s">
        <v>233</v>
      </c>
      <c r="F28" s="73"/>
      <c r="G28" s="71"/>
    </row>
    <row r="29" spans="1:7" ht="16.5" customHeight="1">
      <c r="A29" s="63"/>
      <c r="B29" s="66" t="s">
        <v>142</v>
      </c>
      <c r="C29" s="57">
        <v>15267194</v>
      </c>
      <c r="D29" s="57">
        <f>+C29*5</f>
        <v>76335970</v>
      </c>
      <c r="E29" s="56"/>
      <c r="F29" s="66" t="s">
        <v>142</v>
      </c>
      <c r="G29" s="58">
        <v>10200000</v>
      </c>
    </row>
    <row r="30" spans="1:7" ht="16.5" customHeight="1">
      <c r="A30" s="63"/>
      <c r="B30" s="66" t="s">
        <v>143</v>
      </c>
      <c r="C30" s="57">
        <f>+C29*30</f>
        <v>458015820</v>
      </c>
      <c r="D30" s="57">
        <f>+D29*30</f>
        <v>2290079100</v>
      </c>
      <c r="E30" s="56"/>
      <c r="F30" s="66" t="s">
        <v>143</v>
      </c>
      <c r="G30" s="58">
        <f>+G29*30</f>
        <v>306000000</v>
      </c>
    </row>
    <row r="31" spans="1:7" ht="16.5" customHeight="1">
      <c r="A31" s="72" t="s">
        <v>207</v>
      </c>
      <c r="B31" s="73"/>
      <c r="C31" s="69"/>
      <c r="D31" s="69"/>
      <c r="E31" s="68" t="s">
        <v>207</v>
      </c>
      <c r="F31" s="73"/>
      <c r="G31" s="71"/>
    </row>
    <row r="32" spans="1:7" ht="16.5" customHeight="1">
      <c r="A32" s="63"/>
      <c r="B32" s="66" t="s">
        <v>142</v>
      </c>
      <c r="C32" s="57">
        <v>18321000</v>
      </c>
      <c r="D32" s="57">
        <f>+C32*5</f>
        <v>91605000</v>
      </c>
      <c r="E32" s="56"/>
      <c r="F32" s="66" t="s">
        <v>142</v>
      </c>
      <c r="G32" s="58">
        <v>14100000</v>
      </c>
    </row>
    <row r="33" spans="1:7" ht="16.5" customHeight="1">
      <c r="A33" s="63"/>
      <c r="B33" s="66" t="s">
        <v>143</v>
      </c>
      <c r="C33" s="57">
        <f>+C32*30</f>
        <v>549630000</v>
      </c>
      <c r="D33" s="57">
        <f>+D32*30</f>
        <v>2748150000</v>
      </c>
      <c r="E33" s="56"/>
      <c r="F33" s="66" t="s">
        <v>143</v>
      </c>
      <c r="G33" s="58">
        <f>+G32*30</f>
        <v>423000000</v>
      </c>
    </row>
    <row r="34" spans="1:7" ht="16.5" customHeight="1">
      <c r="A34" s="72" t="s">
        <v>208</v>
      </c>
      <c r="B34" s="73"/>
      <c r="C34" s="69"/>
      <c r="D34" s="69"/>
      <c r="E34" s="68" t="s">
        <v>208</v>
      </c>
      <c r="F34" s="73"/>
      <c r="G34" s="71"/>
    </row>
    <row r="35" spans="1:7" ht="16.5" customHeight="1">
      <c r="A35" s="63"/>
      <c r="B35" s="66" t="s">
        <v>142</v>
      </c>
      <c r="C35" s="57">
        <v>14805000</v>
      </c>
      <c r="D35" s="57">
        <f>+C35*6.5</f>
        <v>96232500</v>
      </c>
      <c r="E35" s="56"/>
      <c r="F35" s="66" t="s">
        <v>142</v>
      </c>
      <c r="G35" s="58">
        <v>14805000</v>
      </c>
    </row>
    <row r="36" spans="1:7" ht="16.5" customHeight="1">
      <c r="A36" s="63"/>
      <c r="B36" s="66" t="s">
        <v>143</v>
      </c>
      <c r="C36" s="57">
        <f>+C35*30</f>
        <v>444150000</v>
      </c>
      <c r="D36" s="57">
        <f>+D35*30</f>
        <v>2886975000</v>
      </c>
      <c r="E36" s="56"/>
      <c r="F36" s="66" t="s">
        <v>143</v>
      </c>
      <c r="G36" s="58">
        <f>+G35*30</f>
        <v>444150000</v>
      </c>
    </row>
    <row r="37" spans="1:7" ht="15.75" customHeight="1">
      <c r="A37" s="72" t="s">
        <v>220</v>
      </c>
      <c r="B37" s="73"/>
      <c r="C37" s="69"/>
      <c r="D37" s="69"/>
      <c r="E37" s="68" t="s">
        <v>220</v>
      </c>
      <c r="F37" s="73"/>
      <c r="G37" s="71"/>
    </row>
    <row r="38" spans="1:7" ht="22.5" customHeight="1">
      <c r="A38" s="579"/>
      <c r="B38" s="575" t="s">
        <v>142</v>
      </c>
      <c r="C38" s="57">
        <v>16290000</v>
      </c>
      <c r="D38" s="57">
        <f>+C38*6.5+5000</f>
        <v>105890000</v>
      </c>
      <c r="E38" s="56"/>
      <c r="F38" s="66" t="s">
        <v>142</v>
      </c>
      <c r="G38" s="58">
        <v>16290000</v>
      </c>
    </row>
    <row r="39" spans="1:7" ht="17.25" customHeight="1">
      <c r="A39" s="580"/>
      <c r="B39" s="575"/>
      <c r="C39" s="57" t="s">
        <v>222</v>
      </c>
      <c r="D39" s="57" t="s">
        <v>223</v>
      </c>
      <c r="E39" s="56"/>
      <c r="F39" s="66" t="s">
        <v>143</v>
      </c>
      <c r="G39" s="58">
        <f>+G38*30</f>
        <v>488700000</v>
      </c>
    </row>
    <row r="40" spans="1:7" ht="21" customHeight="1">
      <c r="A40" s="579"/>
      <c r="B40" s="575" t="s">
        <v>143</v>
      </c>
      <c r="C40" s="57">
        <f>+C38*30</f>
        <v>488700000</v>
      </c>
      <c r="D40" s="57">
        <f>+D38*30</f>
        <v>3176700000</v>
      </c>
      <c r="E40" s="573"/>
      <c r="F40" s="575"/>
      <c r="G40" s="58"/>
    </row>
    <row r="41" spans="1:7" ht="21" customHeight="1">
      <c r="A41" s="580"/>
      <c r="B41" s="575"/>
      <c r="C41" s="57" t="s">
        <v>219</v>
      </c>
      <c r="D41" s="57" t="s">
        <v>224</v>
      </c>
      <c r="E41" s="584"/>
      <c r="F41" s="575"/>
      <c r="G41" s="58"/>
    </row>
    <row r="42" spans="1:7" ht="13.5" customHeight="1">
      <c r="A42" s="72" t="s">
        <v>239</v>
      </c>
      <c r="B42" s="73"/>
      <c r="C42" s="69"/>
      <c r="D42" s="69"/>
      <c r="E42" s="68" t="s">
        <v>239</v>
      </c>
      <c r="F42" s="73"/>
      <c r="G42" s="71"/>
    </row>
    <row r="43" spans="1:7" ht="19.5" customHeight="1">
      <c r="A43" s="579"/>
      <c r="B43" s="575" t="s">
        <v>142</v>
      </c>
      <c r="C43" s="57">
        <v>17700000</v>
      </c>
      <c r="D43" s="57">
        <f>+C43*6.5</f>
        <v>115050000</v>
      </c>
      <c r="E43" s="56"/>
      <c r="F43" s="66" t="s">
        <v>142</v>
      </c>
      <c r="G43" s="58">
        <v>17700000</v>
      </c>
    </row>
    <row r="44" spans="1:7" ht="17.25" customHeight="1">
      <c r="A44" s="580"/>
      <c r="B44" s="575"/>
      <c r="C44" s="57" t="s">
        <v>240</v>
      </c>
      <c r="D44" s="57" t="s">
        <v>245</v>
      </c>
      <c r="E44" s="56"/>
      <c r="F44" s="66" t="s">
        <v>143</v>
      </c>
      <c r="G44" s="58">
        <f>+G43*30</f>
        <v>531000000</v>
      </c>
    </row>
    <row r="45" spans="1:7" ht="24" customHeight="1">
      <c r="A45" s="579"/>
      <c r="B45" s="575" t="s">
        <v>143</v>
      </c>
      <c r="C45" s="57">
        <f>+C43*30</f>
        <v>531000000</v>
      </c>
      <c r="D45" s="57">
        <f>+D43*30</f>
        <v>3451500000</v>
      </c>
      <c r="E45" s="573"/>
      <c r="F45" s="575"/>
      <c r="G45" s="58"/>
    </row>
    <row r="46" spans="1:7" ht="21" customHeight="1" thickBot="1">
      <c r="A46" s="581"/>
      <c r="B46" s="576"/>
      <c r="C46" s="64" t="s">
        <v>241</v>
      </c>
      <c r="D46" s="64" t="s">
        <v>242</v>
      </c>
      <c r="E46" s="574"/>
      <c r="F46" s="576"/>
      <c r="G46" s="65"/>
    </row>
    <row r="47" ht="13.5" customHeight="1" thickTop="1"/>
    <row r="48" ht="13.5" customHeight="1"/>
    <row r="49" ht="13.5" customHeight="1"/>
    <row r="50" ht="13.5" customHeight="1"/>
    <row r="51" ht="13.5" customHeight="1"/>
    <row r="52" ht="13.5" customHeight="1">
      <c r="G52" s="6" t="s">
        <v>56</v>
      </c>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mergeCells count="14">
    <mergeCell ref="A1:G1"/>
    <mergeCell ref="A38:A39"/>
    <mergeCell ref="B38:B39"/>
    <mergeCell ref="A40:A41"/>
    <mergeCell ref="B40:B41"/>
    <mergeCell ref="E40:E41"/>
    <mergeCell ref="F40:F41"/>
    <mergeCell ref="E45:E46"/>
    <mergeCell ref="F45:F46"/>
    <mergeCell ref="A2:E2"/>
    <mergeCell ref="A43:A44"/>
    <mergeCell ref="B43:B44"/>
    <mergeCell ref="A45:A46"/>
    <mergeCell ref="B45:B46"/>
  </mergeCells>
  <printOptions/>
  <pageMargins left="0.7480314960629921" right="0.7480314960629921" top="0.1968503937007874" bottom="0.984251968503937" header="0.5118110236220472" footer="0.5118110236220472"/>
  <pageSetup horizontalDpi="300" verticalDpi="300" orientation="portrait" paperSize="9" scale="90"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sheetPr>
    <tabColor indexed="12"/>
  </sheetPr>
  <dimension ref="A1:K53"/>
  <sheetViews>
    <sheetView showGridLines="0" workbookViewId="0" topLeftCell="A1">
      <selection activeCell="J37" sqref="J37"/>
    </sheetView>
  </sheetViews>
  <sheetFormatPr defaultColWidth="9.00390625" defaultRowHeight="12.75"/>
  <cols>
    <col min="1" max="1" width="19.375" style="14" customWidth="1"/>
    <col min="2" max="2" width="9.25390625" style="14" customWidth="1"/>
    <col min="3" max="3" width="9.375" style="14" customWidth="1"/>
    <col min="4" max="5" width="8.875" style="14" customWidth="1"/>
    <col min="6" max="6" width="8.75390625" style="14" customWidth="1"/>
    <col min="7" max="7" width="8.375" style="14" customWidth="1"/>
    <col min="8" max="8" width="10.125" style="14" customWidth="1"/>
    <col min="9" max="9" width="8.875" style="14" customWidth="1"/>
    <col min="10" max="10" width="10.00390625" style="14" customWidth="1"/>
    <col min="11" max="11" width="8.875" style="14" customWidth="1"/>
    <col min="12" max="16384" width="9.125" style="14" customWidth="1"/>
  </cols>
  <sheetData>
    <row r="1" spans="1:11" s="76" customFormat="1" ht="29.25" customHeight="1">
      <c r="A1" s="525" t="s">
        <v>464</v>
      </c>
      <c r="B1" s="585"/>
      <c r="C1" s="585"/>
      <c r="D1" s="585"/>
      <c r="E1" s="585"/>
      <c r="F1" s="585"/>
      <c r="G1" s="585"/>
      <c r="H1" s="585"/>
      <c r="I1" s="585"/>
      <c r="J1" s="585"/>
      <c r="K1" s="585"/>
    </row>
    <row r="2" ht="16.5" thickBot="1">
      <c r="A2" s="16" t="s">
        <v>22</v>
      </c>
    </row>
    <row r="3" spans="1:11" s="4" customFormat="1" ht="57" customHeight="1" thickTop="1">
      <c r="A3" s="242" t="s">
        <v>146</v>
      </c>
      <c r="B3" s="243">
        <v>2002</v>
      </c>
      <c r="C3" s="244" t="s">
        <v>205</v>
      </c>
      <c r="D3" s="243">
        <v>2003</v>
      </c>
      <c r="E3" s="244" t="s">
        <v>205</v>
      </c>
      <c r="F3" s="243">
        <v>2004</v>
      </c>
      <c r="G3" s="244" t="s">
        <v>205</v>
      </c>
      <c r="H3" s="243">
        <v>2005</v>
      </c>
      <c r="I3" s="244" t="s">
        <v>205</v>
      </c>
      <c r="J3" s="243" t="s">
        <v>480</v>
      </c>
      <c r="K3" s="245" t="s">
        <v>205</v>
      </c>
    </row>
    <row r="4" spans="1:11" s="4" customFormat="1" ht="15">
      <c r="A4" s="246" t="s">
        <v>234</v>
      </c>
      <c r="B4" s="247">
        <v>62542</v>
      </c>
      <c r="C4" s="248">
        <f aca="true" t="shared" si="0" ref="C4:C9">+B4/$B$9*100</f>
        <v>1.668866757231947</v>
      </c>
      <c r="D4" s="249">
        <v>62709</v>
      </c>
      <c r="E4" s="248">
        <f aca="true" t="shared" si="1" ref="E4:E9">+D4/$D$9*100</f>
        <v>1.593409567165533</v>
      </c>
      <c r="F4" s="249">
        <v>63071</v>
      </c>
      <c r="G4" s="248">
        <f>+(F4/$F$9)*100</f>
        <v>1.5305278065338692</v>
      </c>
      <c r="H4" s="249">
        <v>62700</v>
      </c>
      <c r="I4" s="248">
        <f>+(H4/$H$9)*100</f>
        <v>1.4553689186121492</v>
      </c>
      <c r="J4" s="249">
        <v>62822</v>
      </c>
      <c r="K4" s="250">
        <f>+(J4/$J$9)*100</f>
        <v>1.4418812071847558</v>
      </c>
    </row>
    <row r="5" spans="1:11" s="4" customFormat="1" ht="15">
      <c r="A5" s="246" t="s">
        <v>235</v>
      </c>
      <c r="B5" s="247">
        <v>2555965</v>
      </c>
      <c r="C5" s="248">
        <f t="shared" si="0"/>
        <v>68.20320778274366</v>
      </c>
      <c r="D5" s="249">
        <v>2694834</v>
      </c>
      <c r="E5" s="248">
        <f t="shared" si="1"/>
        <v>68.47460934671199</v>
      </c>
      <c r="F5" s="249">
        <v>2838422</v>
      </c>
      <c r="G5" s="248">
        <f>+(F5/$F$9)*100</f>
        <v>68.87925984489668</v>
      </c>
      <c r="H5" s="249">
        <v>2988054</v>
      </c>
      <c r="I5" s="248">
        <f>+(H5/$H$9)*100</f>
        <v>69.3575904104419</v>
      </c>
      <c r="J5" s="249">
        <v>3022989</v>
      </c>
      <c r="K5" s="250">
        <f>+(J5/$J$9)*100</f>
        <v>69.38319424128868</v>
      </c>
    </row>
    <row r="6" spans="1:11" s="4" customFormat="1" ht="15">
      <c r="A6" s="246" t="s">
        <v>148</v>
      </c>
      <c r="B6" s="247">
        <v>1002706</v>
      </c>
      <c r="C6" s="248">
        <f t="shared" si="0"/>
        <v>26.75614324257326</v>
      </c>
      <c r="D6" s="249">
        <v>1051052</v>
      </c>
      <c r="E6" s="248">
        <f t="shared" si="1"/>
        <v>26.706793480815637</v>
      </c>
      <c r="F6" s="249">
        <v>1091904</v>
      </c>
      <c r="G6" s="248">
        <f>+(F6/$F$9)*100</f>
        <v>26.496954766303976</v>
      </c>
      <c r="H6" s="249">
        <v>1130420</v>
      </c>
      <c r="I6" s="248">
        <f>+(H6/$H$9)*100</f>
        <v>26.238885693421775</v>
      </c>
      <c r="J6" s="249">
        <v>1143530</v>
      </c>
      <c r="K6" s="250">
        <f>+(J6/$J$9)*100</f>
        <v>26.246130604756036</v>
      </c>
    </row>
    <row r="7" spans="1:11" s="4" customFormat="1" ht="15">
      <c r="A7" s="246" t="s">
        <v>172</v>
      </c>
      <c r="B7" s="247">
        <v>51431</v>
      </c>
      <c r="C7" s="248">
        <f t="shared" si="0"/>
        <v>1.3723815386651574</v>
      </c>
      <c r="D7" s="249">
        <v>51959</v>
      </c>
      <c r="E7" s="248">
        <f t="shared" si="1"/>
        <v>1.3202565453181192</v>
      </c>
      <c r="F7" s="249">
        <v>53063</v>
      </c>
      <c r="G7" s="248">
        <f>+(F7/$F$9)*100</f>
        <v>1.2876662332626199</v>
      </c>
      <c r="H7" s="249">
        <v>53584</v>
      </c>
      <c r="I7" s="248">
        <f>+(H7/$H$9)*100</f>
        <v>1.2437717405887303</v>
      </c>
      <c r="J7" s="249">
        <v>53963</v>
      </c>
      <c r="K7" s="250">
        <f>+(J7/$J$9)*100</f>
        <v>1.2385507558388937</v>
      </c>
    </row>
    <row r="8" spans="1:11" s="4" customFormat="1" ht="24" customHeight="1">
      <c r="A8" s="220" t="s">
        <v>150</v>
      </c>
      <c r="B8" s="247">
        <v>74929</v>
      </c>
      <c r="C8" s="248">
        <f t="shared" si="0"/>
        <v>1.9994006787859768</v>
      </c>
      <c r="D8" s="249">
        <v>74969</v>
      </c>
      <c r="E8" s="248">
        <f t="shared" si="1"/>
        <v>1.9049310599887233</v>
      </c>
      <c r="F8" s="249">
        <v>74406</v>
      </c>
      <c r="G8" s="248">
        <f>+(F8/$F$9)*100</f>
        <v>1.8055913490028552</v>
      </c>
      <c r="H8" s="249">
        <v>73428</v>
      </c>
      <c r="I8" s="248">
        <f>+(H8/$H$9)*100</f>
        <v>1.7043832369354528</v>
      </c>
      <c r="J8" s="249">
        <v>73643</v>
      </c>
      <c r="K8" s="250">
        <f>+(J8/$J$9)*100</f>
        <v>1.6902431909316316</v>
      </c>
    </row>
    <row r="9" spans="1:11" s="4" customFormat="1" ht="15.75" thickBot="1">
      <c r="A9" s="251" t="s">
        <v>31</v>
      </c>
      <c r="B9" s="252">
        <f>SUM(B4:B8)</f>
        <v>3747573</v>
      </c>
      <c r="C9" s="253">
        <f t="shared" si="0"/>
        <v>100</v>
      </c>
      <c r="D9" s="252">
        <f>SUM(D4:D8)</f>
        <v>3935523</v>
      </c>
      <c r="E9" s="253">
        <f t="shared" si="1"/>
        <v>100</v>
      </c>
      <c r="F9" s="252">
        <f>SUM(F4:F8)</f>
        <v>4120866</v>
      </c>
      <c r="G9" s="253">
        <f>+F9/$F$9*100</f>
        <v>100</v>
      </c>
      <c r="H9" s="252">
        <f>SUM(H4:H8)</f>
        <v>4308186</v>
      </c>
      <c r="I9" s="253">
        <f>+H9/$H$9*100</f>
        <v>100</v>
      </c>
      <c r="J9" s="252">
        <f>SUM(J4:J8)</f>
        <v>4356947</v>
      </c>
      <c r="K9" s="254">
        <f>SUM(K4:K8)</f>
        <v>99.99999999999997</v>
      </c>
    </row>
    <row r="10" ht="16.5" thickTop="1"/>
    <row r="29" spans="1:11" ht="18" customHeight="1">
      <c r="A29" s="586" t="s">
        <v>161</v>
      </c>
      <c r="B29" s="483"/>
      <c r="C29" s="483"/>
      <c r="D29" s="483"/>
      <c r="E29" s="483"/>
      <c r="F29" s="483"/>
      <c r="G29" s="483"/>
      <c r="H29" s="483"/>
      <c r="I29" s="483"/>
      <c r="J29" s="483"/>
      <c r="K29" s="483"/>
    </row>
    <row r="30" ht="19.5" customHeight="1" thickBot="1">
      <c r="A30" s="16" t="s">
        <v>23</v>
      </c>
    </row>
    <row r="31" spans="1:11" ht="28.5" customHeight="1" thickTop="1">
      <c r="A31" s="587" t="s">
        <v>146</v>
      </c>
      <c r="B31" s="588"/>
      <c r="C31" s="588"/>
      <c r="D31" s="588"/>
      <c r="E31" s="588"/>
      <c r="F31" s="255">
        <v>2000</v>
      </c>
      <c r="G31" s="255">
        <v>2001</v>
      </c>
      <c r="H31" s="255">
        <v>2002</v>
      </c>
      <c r="I31" s="255">
        <v>2003</v>
      </c>
      <c r="J31" s="255">
        <v>2004</v>
      </c>
      <c r="K31" s="131">
        <v>2005</v>
      </c>
    </row>
    <row r="32" spans="1:11" ht="15.75">
      <c r="A32" s="592" t="s">
        <v>149</v>
      </c>
      <c r="B32" s="593"/>
      <c r="C32" s="593"/>
      <c r="D32" s="593"/>
      <c r="E32" s="594"/>
      <c r="F32" s="256">
        <v>5185</v>
      </c>
      <c r="G32" s="257">
        <v>5539</v>
      </c>
      <c r="H32" s="257">
        <v>5079</v>
      </c>
      <c r="I32" s="257">
        <v>4385</v>
      </c>
      <c r="J32" s="257">
        <v>3987</v>
      </c>
      <c r="K32" s="258">
        <v>3715</v>
      </c>
    </row>
    <row r="33" spans="1:11" ht="15.75">
      <c r="A33" s="592" t="s">
        <v>147</v>
      </c>
      <c r="B33" s="593"/>
      <c r="C33" s="593"/>
      <c r="D33" s="593"/>
      <c r="E33" s="594"/>
      <c r="F33" s="257">
        <v>188628</v>
      </c>
      <c r="G33" s="257">
        <v>209281</v>
      </c>
      <c r="H33" s="257">
        <v>182759</v>
      </c>
      <c r="I33" s="257">
        <v>177792</v>
      </c>
      <c r="J33" s="257">
        <v>169913</v>
      </c>
      <c r="K33" s="258">
        <v>201696</v>
      </c>
    </row>
    <row r="34" spans="1:11" ht="15.75">
      <c r="A34" s="592" t="s">
        <v>24</v>
      </c>
      <c r="B34" s="593"/>
      <c r="C34" s="593"/>
      <c r="D34" s="593"/>
      <c r="E34" s="594"/>
      <c r="F34" s="257">
        <v>94113</v>
      </c>
      <c r="G34" s="257">
        <v>86534</v>
      </c>
      <c r="H34" s="257">
        <v>91138</v>
      </c>
      <c r="I34" s="257">
        <v>92065</v>
      </c>
      <c r="J34" s="257">
        <v>80992</v>
      </c>
      <c r="K34" s="258">
        <v>95623</v>
      </c>
    </row>
    <row r="35" spans="1:11" ht="15.75" customHeight="1">
      <c r="A35" s="592" t="s">
        <v>172</v>
      </c>
      <c r="B35" s="593"/>
      <c r="C35" s="593"/>
      <c r="D35" s="593"/>
      <c r="E35" s="594"/>
      <c r="F35" s="257">
        <v>1818</v>
      </c>
      <c r="G35" s="257">
        <v>2183</v>
      </c>
      <c r="H35" s="257">
        <v>2087</v>
      </c>
      <c r="I35" s="257">
        <v>1596</v>
      </c>
      <c r="J35" s="257">
        <v>1693</v>
      </c>
      <c r="K35" s="258">
        <v>1639</v>
      </c>
    </row>
    <row r="36" spans="1:11" ht="19.5" customHeight="1">
      <c r="A36" s="592" t="s">
        <v>25</v>
      </c>
      <c r="B36" s="593"/>
      <c r="C36" s="593"/>
      <c r="D36" s="593"/>
      <c r="E36" s="594"/>
      <c r="F36" s="257">
        <v>4045</v>
      </c>
      <c r="G36" s="257">
        <v>3754</v>
      </c>
      <c r="H36" s="257">
        <v>3413</v>
      </c>
      <c r="I36" s="257">
        <v>3000</v>
      </c>
      <c r="J36" s="257">
        <v>3087</v>
      </c>
      <c r="K36" s="258">
        <v>3736</v>
      </c>
    </row>
    <row r="37" spans="1:11" ht="23.25" customHeight="1" thickBot="1">
      <c r="A37" s="589" t="s">
        <v>31</v>
      </c>
      <c r="B37" s="590"/>
      <c r="C37" s="590"/>
      <c r="D37" s="590"/>
      <c r="E37" s="591"/>
      <c r="F37" s="259">
        <f aca="true" t="shared" si="2" ref="F37:K37">SUM(F32:F36)</f>
        <v>293789</v>
      </c>
      <c r="G37" s="259">
        <f t="shared" si="2"/>
        <v>307291</v>
      </c>
      <c r="H37" s="259">
        <f t="shared" si="2"/>
        <v>284476</v>
      </c>
      <c r="I37" s="259">
        <f t="shared" si="2"/>
        <v>278838</v>
      </c>
      <c r="J37" s="259">
        <f t="shared" si="2"/>
        <v>259672</v>
      </c>
      <c r="K37" s="260">
        <f t="shared" si="2"/>
        <v>306409</v>
      </c>
    </row>
    <row r="38" ht="16.5" thickTop="1"/>
    <row r="53" ht="18.75">
      <c r="C53" s="75" t="s">
        <v>56</v>
      </c>
    </row>
  </sheetData>
  <mergeCells count="9">
    <mergeCell ref="A1:K1"/>
    <mergeCell ref="A29:K29"/>
    <mergeCell ref="A31:E31"/>
    <mergeCell ref="A37:E37"/>
    <mergeCell ref="A32:E32"/>
    <mergeCell ref="A33:E33"/>
    <mergeCell ref="A34:E34"/>
    <mergeCell ref="A35:E35"/>
    <mergeCell ref="A36:E36"/>
  </mergeCells>
  <printOptions/>
  <pageMargins left="0.7480314960629921" right="0.7480314960629921" top="0.984251968503937" bottom="0.984251968503937" header="0.5118110236220472" footer="0.5118110236220472"/>
  <pageSetup horizontalDpi="300" verticalDpi="300" orientation="portrait" paperSize="9" scale="75" r:id="rId2"/>
  <headerFooter alignWithMargins="0">
    <oddFooter>&amp;C18</oddFooter>
  </headerFooter>
  <ignoredErrors>
    <ignoredError sqref="B9 F37:K37 E38:H39 C38:D39" formulaRange="1"/>
    <ignoredError sqref="C9:K9" formula="1" formulaRange="1"/>
  </ignoredErrors>
  <drawing r:id="rId1"/>
</worksheet>
</file>

<file path=xl/worksheets/sheet2.xml><?xml version="1.0" encoding="utf-8"?>
<worksheet xmlns="http://schemas.openxmlformats.org/spreadsheetml/2006/main" xmlns:r="http://schemas.openxmlformats.org/officeDocument/2006/relationships">
  <sheetPr>
    <tabColor indexed="12"/>
  </sheetPr>
  <dimension ref="A2:C29"/>
  <sheetViews>
    <sheetView showGridLines="0" workbookViewId="0" topLeftCell="A2">
      <selection activeCell="C27" sqref="C27"/>
    </sheetView>
  </sheetViews>
  <sheetFormatPr defaultColWidth="9.00390625" defaultRowHeight="12.75"/>
  <cols>
    <col min="1" max="1" width="72.375" style="8" customWidth="1"/>
    <col min="2" max="2" width="5.875" style="1" customWidth="1"/>
    <col min="3" max="3" width="8.75390625" style="1" customWidth="1"/>
    <col min="4" max="16384" width="9.125" style="1" customWidth="1"/>
  </cols>
  <sheetData>
    <row r="1" ht="12.75" hidden="1"/>
    <row r="2" spans="1:3" ht="26.25" customHeight="1">
      <c r="A2" s="432" t="s">
        <v>401</v>
      </c>
      <c r="B2" s="433"/>
      <c r="C2" s="433"/>
    </row>
    <row r="3" spans="1:3" ht="34.5" customHeight="1" thickBot="1">
      <c r="A3" s="348"/>
      <c r="B3" s="349" t="s">
        <v>402</v>
      </c>
      <c r="C3" s="350" t="s">
        <v>403</v>
      </c>
    </row>
    <row r="4" spans="1:3" ht="21.75" customHeight="1">
      <c r="A4" s="351" t="s">
        <v>404</v>
      </c>
      <c r="B4" s="352">
        <v>1</v>
      </c>
      <c r="C4" s="353" t="s">
        <v>100</v>
      </c>
    </row>
    <row r="5" spans="1:3" ht="27.75" customHeight="1">
      <c r="A5" s="351" t="s">
        <v>405</v>
      </c>
      <c r="B5" s="352">
        <v>2</v>
      </c>
      <c r="C5" s="354" t="s">
        <v>406</v>
      </c>
    </row>
    <row r="6" spans="1:3" ht="27.75" customHeight="1">
      <c r="A6" s="351" t="s">
        <v>483</v>
      </c>
      <c r="B6" s="355">
        <v>3</v>
      </c>
      <c r="C6" s="354" t="s">
        <v>407</v>
      </c>
    </row>
    <row r="7" spans="1:3" ht="27.75" customHeight="1">
      <c r="A7" s="351" t="s">
        <v>482</v>
      </c>
      <c r="B7" s="352">
        <v>3</v>
      </c>
      <c r="C7" s="354" t="s">
        <v>408</v>
      </c>
    </row>
    <row r="8" spans="1:3" ht="27.75" customHeight="1">
      <c r="A8" s="351" t="s">
        <v>484</v>
      </c>
      <c r="B8" s="352">
        <v>4</v>
      </c>
      <c r="C8" s="354" t="s">
        <v>409</v>
      </c>
    </row>
    <row r="9" spans="1:3" ht="27.75" customHeight="1">
      <c r="A9" s="351" t="s">
        <v>485</v>
      </c>
      <c r="B9" s="352">
        <v>5</v>
      </c>
      <c r="C9" s="354" t="s">
        <v>410</v>
      </c>
    </row>
    <row r="10" spans="1:3" s="8" customFormat="1" ht="27.75" customHeight="1">
      <c r="A10" s="351" t="s">
        <v>411</v>
      </c>
      <c r="B10" s="352">
        <v>6</v>
      </c>
      <c r="C10" s="354" t="s">
        <v>412</v>
      </c>
    </row>
    <row r="11" spans="1:3" s="8" customFormat="1" ht="27.75" customHeight="1">
      <c r="A11" s="351" t="s">
        <v>432</v>
      </c>
      <c r="B11" s="352">
        <v>7</v>
      </c>
      <c r="C11" s="354" t="s">
        <v>413</v>
      </c>
    </row>
    <row r="12" spans="1:3" s="8" customFormat="1" ht="27.75" customHeight="1">
      <c r="A12" s="351" t="s">
        <v>423</v>
      </c>
      <c r="B12" s="352">
        <v>8</v>
      </c>
      <c r="C12" s="354" t="s">
        <v>414</v>
      </c>
    </row>
    <row r="13" spans="1:3" ht="27.75" customHeight="1">
      <c r="A13" s="351" t="s">
        <v>424</v>
      </c>
      <c r="B13" s="352">
        <v>9</v>
      </c>
      <c r="C13" s="354" t="s">
        <v>415</v>
      </c>
    </row>
    <row r="14" spans="1:3" ht="27.75" customHeight="1">
      <c r="A14" s="351" t="s">
        <v>425</v>
      </c>
      <c r="B14" s="352">
        <v>10</v>
      </c>
      <c r="C14" s="354" t="s">
        <v>416</v>
      </c>
    </row>
    <row r="15" spans="1:3" ht="27.75" customHeight="1">
      <c r="A15" s="351" t="s">
        <v>426</v>
      </c>
      <c r="B15" s="352">
        <v>11</v>
      </c>
      <c r="C15" s="354" t="s">
        <v>435</v>
      </c>
    </row>
    <row r="16" spans="1:3" ht="27.75" customHeight="1">
      <c r="A16" s="351" t="s">
        <v>427</v>
      </c>
      <c r="B16" s="356">
        <v>12</v>
      </c>
      <c r="C16" s="354" t="s">
        <v>436</v>
      </c>
    </row>
    <row r="17" spans="1:3" ht="24.75" customHeight="1">
      <c r="A17" s="351" t="s">
        <v>417</v>
      </c>
      <c r="B17" s="352">
        <v>13</v>
      </c>
      <c r="C17" s="354" t="s">
        <v>437</v>
      </c>
    </row>
    <row r="18" spans="1:3" ht="22.5" customHeight="1">
      <c r="A18" s="351" t="s">
        <v>418</v>
      </c>
      <c r="B18" s="352">
        <v>14</v>
      </c>
      <c r="C18" s="354" t="s">
        <v>438</v>
      </c>
    </row>
    <row r="19" spans="1:3" ht="25.5" customHeight="1">
      <c r="A19" s="351" t="s">
        <v>419</v>
      </c>
      <c r="B19" s="352">
        <v>15</v>
      </c>
      <c r="C19" s="354" t="s">
        <v>439</v>
      </c>
    </row>
    <row r="20" spans="1:3" ht="24.75" customHeight="1">
      <c r="A20" s="351" t="s">
        <v>429</v>
      </c>
      <c r="B20" s="352">
        <v>16</v>
      </c>
      <c r="C20" s="354" t="s">
        <v>440</v>
      </c>
    </row>
    <row r="21" spans="1:3" ht="27.75" customHeight="1">
      <c r="A21" s="351" t="s">
        <v>420</v>
      </c>
      <c r="B21" s="352">
        <v>17</v>
      </c>
      <c r="C21" s="354" t="s">
        <v>441</v>
      </c>
    </row>
    <row r="22" spans="1:3" ht="27.75" customHeight="1">
      <c r="A22" s="351" t="s">
        <v>428</v>
      </c>
      <c r="B22" s="352">
        <v>18</v>
      </c>
      <c r="C22" s="354" t="s">
        <v>442</v>
      </c>
    </row>
    <row r="23" spans="1:3" ht="27.75" customHeight="1">
      <c r="A23" s="351" t="s">
        <v>430</v>
      </c>
      <c r="B23" s="356">
        <v>19</v>
      </c>
      <c r="C23" s="354" t="s">
        <v>443</v>
      </c>
    </row>
    <row r="24" spans="1:3" ht="27.75" customHeight="1">
      <c r="A24" s="351" t="s">
        <v>434</v>
      </c>
      <c r="B24" s="352">
        <v>20</v>
      </c>
      <c r="C24" s="354" t="s">
        <v>421</v>
      </c>
    </row>
    <row r="25" spans="1:3" ht="27.75" customHeight="1">
      <c r="A25" s="351" t="s">
        <v>433</v>
      </c>
      <c r="B25" s="352">
        <v>21</v>
      </c>
      <c r="C25" s="354" t="s">
        <v>444</v>
      </c>
    </row>
    <row r="26" spans="1:3" ht="27.75" customHeight="1">
      <c r="A26" s="351" t="s">
        <v>431</v>
      </c>
      <c r="B26" s="352">
        <v>22</v>
      </c>
      <c r="C26" s="354" t="s">
        <v>487</v>
      </c>
    </row>
    <row r="27" spans="1:3" ht="19.5" customHeight="1">
      <c r="A27" s="351" t="s">
        <v>422</v>
      </c>
      <c r="B27" s="352">
        <v>22</v>
      </c>
      <c r="C27" s="354" t="s">
        <v>486</v>
      </c>
    </row>
    <row r="28" spans="1:3" ht="18" customHeight="1">
      <c r="A28" s="357"/>
      <c r="B28" s="358"/>
      <c r="C28" s="359"/>
    </row>
    <row r="29" spans="1:3" ht="12.75">
      <c r="A29" s="360" t="s">
        <v>56</v>
      </c>
      <c r="B29" s="361"/>
      <c r="C29" s="361"/>
    </row>
  </sheetData>
  <mergeCells count="1">
    <mergeCell ref="A2:C2"/>
  </mergeCells>
  <printOptions/>
  <pageMargins left="0.7480314960629921" right="0.3937007874015748" top="0.984251968503937" bottom="0.984251968503937" header="0.5118110236220472" footer="0.5118110236220472"/>
  <pageSetup horizontalDpi="300" verticalDpi="300" orientation="portrait" paperSize="9" r:id="rId1"/>
  <ignoredErrors>
    <ignoredError sqref="C5:C14 C17 C28 C29 C19:C25" numberStoredAsText="1"/>
  </ignoredErrors>
</worksheet>
</file>

<file path=xl/worksheets/sheet20.xml><?xml version="1.0" encoding="utf-8"?>
<worksheet xmlns="http://schemas.openxmlformats.org/spreadsheetml/2006/main" xmlns:r="http://schemas.openxmlformats.org/officeDocument/2006/relationships">
  <sheetPr>
    <tabColor indexed="12"/>
  </sheetPr>
  <dimension ref="A1:J74"/>
  <sheetViews>
    <sheetView showGridLines="0" workbookViewId="0" topLeftCell="A62">
      <selection activeCell="A68" sqref="A68:E68"/>
    </sheetView>
  </sheetViews>
  <sheetFormatPr defaultColWidth="9.00390625" defaultRowHeight="12.75"/>
  <cols>
    <col min="1" max="1" width="23.375" style="83" customWidth="1"/>
    <col min="2" max="2" width="17.375" style="83" customWidth="1"/>
    <col min="3" max="3" width="16.375" style="83" customWidth="1"/>
    <col min="4" max="4" width="10.375" style="83" customWidth="1"/>
    <col min="5" max="5" width="11.875" style="83" customWidth="1"/>
    <col min="6" max="7" width="9.125" style="83" customWidth="1"/>
    <col min="8" max="8" width="10.75390625" style="83" customWidth="1"/>
    <col min="9" max="16384" width="9.125" style="83" customWidth="1"/>
  </cols>
  <sheetData>
    <row r="1" spans="1:5" ht="15.75" customHeight="1">
      <c r="A1" s="595" t="s">
        <v>465</v>
      </c>
      <c r="B1" s="596"/>
      <c r="C1" s="596"/>
      <c r="D1" s="596"/>
      <c r="E1" s="596"/>
    </row>
    <row r="2" spans="1:5" ht="11.25" customHeight="1">
      <c r="A2" s="597"/>
      <c r="B2" s="598"/>
      <c r="C2" s="598"/>
      <c r="D2" s="598"/>
      <c r="E2" s="598"/>
    </row>
    <row r="3" spans="1:10" s="14" customFormat="1" ht="15.75">
      <c r="A3" s="16" t="s">
        <v>314</v>
      </c>
      <c r="G3" s="112"/>
      <c r="H3" s="113" t="s">
        <v>315</v>
      </c>
      <c r="I3" s="113" t="s">
        <v>316</v>
      </c>
      <c r="J3" s="112"/>
    </row>
    <row r="4" spans="1:10" ht="24" customHeight="1">
      <c r="A4" s="84" t="s">
        <v>246</v>
      </c>
      <c r="B4" s="84" t="s">
        <v>310</v>
      </c>
      <c r="C4" s="84" t="s">
        <v>311</v>
      </c>
      <c r="D4" s="84" t="s">
        <v>297</v>
      </c>
      <c r="E4" s="84" t="s">
        <v>298</v>
      </c>
      <c r="G4" s="114">
        <v>2000</v>
      </c>
      <c r="H4" s="114">
        <v>43.7</v>
      </c>
      <c r="I4" s="114">
        <v>39</v>
      </c>
      <c r="J4" s="114"/>
    </row>
    <row r="5" spans="1:10" ht="12.75">
      <c r="A5" s="52" t="s">
        <v>247</v>
      </c>
      <c r="B5" s="85">
        <v>88975810</v>
      </c>
      <c r="C5" s="85">
        <v>168607315</v>
      </c>
      <c r="D5" s="85"/>
      <c r="E5" s="86"/>
      <c r="G5" s="114">
        <v>2001</v>
      </c>
      <c r="H5" s="114">
        <v>67.3</v>
      </c>
      <c r="I5" s="114">
        <v>68.5</v>
      </c>
      <c r="J5" s="114"/>
    </row>
    <row r="6" spans="1:10" ht="12.75">
      <c r="A6" s="87" t="s">
        <v>248</v>
      </c>
      <c r="B6" s="88">
        <v>119051010</v>
      </c>
      <c r="C6" s="88">
        <v>227096944</v>
      </c>
      <c r="D6" s="88"/>
      <c r="E6" s="89"/>
      <c r="G6" s="114">
        <v>2002</v>
      </c>
      <c r="H6" s="114">
        <v>31.9</v>
      </c>
      <c r="I6" s="114">
        <v>29.7</v>
      </c>
      <c r="J6" s="114"/>
    </row>
    <row r="7" spans="1:10" ht="15" customHeight="1">
      <c r="A7" s="90"/>
      <c r="B7" s="599" t="s">
        <v>312</v>
      </c>
      <c r="C7" s="599"/>
      <c r="D7" s="91">
        <v>43.7</v>
      </c>
      <c r="E7" s="92">
        <v>39</v>
      </c>
      <c r="G7" s="114">
        <v>2003</v>
      </c>
      <c r="H7" s="114">
        <v>20</v>
      </c>
      <c r="I7" s="114">
        <v>18.4</v>
      </c>
      <c r="J7" s="114"/>
    </row>
    <row r="8" spans="1:10" ht="12.75">
      <c r="A8" s="52" t="s">
        <v>313</v>
      </c>
      <c r="B8" s="85">
        <v>121910036</v>
      </c>
      <c r="C8" s="85">
        <v>232637118</v>
      </c>
      <c r="D8" s="85"/>
      <c r="E8" s="86" t="s">
        <v>56</v>
      </c>
      <c r="G8" s="114">
        <v>2004</v>
      </c>
      <c r="H8" s="114">
        <v>21</v>
      </c>
      <c r="I8" s="114">
        <v>9.3</v>
      </c>
      <c r="J8" s="114"/>
    </row>
    <row r="9" spans="1:10" ht="12.75">
      <c r="A9" s="52" t="s">
        <v>249</v>
      </c>
      <c r="B9" s="85">
        <v>196036344</v>
      </c>
      <c r="C9" s="85">
        <v>376816438</v>
      </c>
      <c r="D9" s="85"/>
      <c r="E9" s="86" t="s">
        <v>56</v>
      </c>
      <c r="G9" s="114">
        <v>2005</v>
      </c>
      <c r="H9" s="114">
        <v>12.3</v>
      </c>
      <c r="I9" s="114">
        <v>7.7</v>
      </c>
      <c r="J9" s="114"/>
    </row>
    <row r="10" spans="1:10" ht="18" customHeight="1">
      <c r="A10" s="90"/>
      <c r="B10" s="599" t="s">
        <v>312</v>
      </c>
      <c r="C10" s="599"/>
      <c r="D10" s="91">
        <v>67.3</v>
      </c>
      <c r="E10" s="93">
        <v>68.5</v>
      </c>
      <c r="G10" s="114">
        <v>2006</v>
      </c>
      <c r="H10" s="114">
        <v>7</v>
      </c>
      <c r="I10" s="114"/>
      <c r="J10" s="114"/>
    </row>
    <row r="11" spans="1:5" ht="12.75">
      <c r="A11" s="49" t="s">
        <v>250</v>
      </c>
      <c r="B11" s="85">
        <f>+(B9-4690000)*1.032+4690000</f>
        <v>202159427.00800002</v>
      </c>
      <c r="C11" s="85">
        <f>+(C9-4690000)*1.032+4690000</f>
        <v>388724484.01600003</v>
      </c>
      <c r="D11" s="85"/>
      <c r="E11" s="86" t="s">
        <v>56</v>
      </c>
    </row>
    <row r="12" spans="1:5" ht="12.75" hidden="1">
      <c r="A12" s="49" t="s">
        <v>251</v>
      </c>
      <c r="B12" s="85">
        <f>+(B11-4690000)*1.053+4690000</f>
        <v>212625306.639424</v>
      </c>
      <c r="C12" s="85">
        <f>+(C11-4690000)*1.053+4690000</f>
        <v>409078311.66884804</v>
      </c>
      <c r="D12" s="85"/>
      <c r="E12" s="86">
        <v>5.3</v>
      </c>
    </row>
    <row r="13" spans="1:5" ht="12.75" hidden="1">
      <c r="A13" s="49" t="s">
        <v>252</v>
      </c>
      <c r="B13" s="85">
        <f>+(B12-4690000)*1.018+4690000</f>
        <v>216368142.15893364</v>
      </c>
      <c r="C13" s="85">
        <f>+(C12-4690000)*1.018+4690000</f>
        <v>416357301.27888733</v>
      </c>
      <c r="D13" s="85"/>
      <c r="E13" s="86">
        <v>1.8</v>
      </c>
    </row>
    <row r="14" spans="1:5" ht="12.75" hidden="1">
      <c r="A14" s="49" t="s">
        <v>253</v>
      </c>
      <c r="B14" s="85">
        <f>+(B13-4690000)*1.012+4690000</f>
        <v>218908279.86484084</v>
      </c>
      <c r="C14" s="85">
        <f>+(C13-4690000)*1.012+4690000</f>
        <v>421297308.894234</v>
      </c>
      <c r="D14" s="85"/>
      <c r="E14" s="86">
        <v>1.2</v>
      </c>
    </row>
    <row r="15" spans="1:5" ht="12.75" hidden="1">
      <c r="A15" s="49" t="s">
        <v>254</v>
      </c>
      <c r="B15" s="85">
        <f>+(B14-4690000)*1.021+4690000</f>
        <v>223406863.7420025</v>
      </c>
      <c r="C15" s="85">
        <f>+(C14-4690000)*1.021+4690000</f>
        <v>430046062.38101286</v>
      </c>
      <c r="D15" s="85"/>
      <c r="E15" s="86">
        <v>2.1</v>
      </c>
    </row>
    <row r="16" spans="1:5" ht="12.75" hidden="1">
      <c r="A16" s="49" t="s">
        <v>255</v>
      </c>
      <c r="B16" s="85">
        <f>+(B15-4690000)*1.006+4690000</f>
        <v>224719164.9244545</v>
      </c>
      <c r="C16" s="85">
        <f>+(C15-4690000)*1.006+4690000</f>
        <v>432598198.7552989</v>
      </c>
      <c r="D16" s="85"/>
      <c r="E16" s="86">
        <v>0.6</v>
      </c>
    </row>
    <row r="17" spans="1:5" ht="12.75" hidden="1">
      <c r="A17" s="49" t="s">
        <v>256</v>
      </c>
      <c r="B17" s="85">
        <f>+(B16-4690000)*1.006+4690000</f>
        <v>226039339.91400123</v>
      </c>
      <c r="C17" s="85">
        <f>+(C16-4690000)*1.006+4690000+8</f>
        <v>435165655.94783074</v>
      </c>
      <c r="D17" s="85"/>
      <c r="E17" s="86">
        <v>0.6</v>
      </c>
    </row>
    <row r="18" spans="1:5" ht="12.75" hidden="1">
      <c r="A18" s="49" t="s">
        <v>257</v>
      </c>
      <c r="B18" s="85">
        <f>+(B17-4690000)*1.014+4690000+8</f>
        <v>229138238.67279723</v>
      </c>
      <c r="C18" s="85">
        <f>+(C17-4690000)*1.014+4690000+1</f>
        <v>441192316.13110036</v>
      </c>
      <c r="D18" s="85"/>
      <c r="E18" s="86">
        <v>1.4</v>
      </c>
    </row>
    <row r="19" spans="1:5" ht="12.75" hidden="1">
      <c r="A19" s="49" t="s">
        <v>258</v>
      </c>
      <c r="B19" s="85">
        <f>+(B18-4690000)*1.022+4690000+1</f>
        <v>234076100.92359877</v>
      </c>
      <c r="C19" s="85">
        <f>+(C18-4690000)*1.022+4690000</f>
        <v>450795367.0859846</v>
      </c>
      <c r="D19" s="85"/>
      <c r="E19" s="86">
        <v>2.2</v>
      </c>
    </row>
    <row r="20" spans="1:5" ht="12.75" hidden="1">
      <c r="A20" s="49" t="s">
        <v>259</v>
      </c>
      <c r="B20" s="85">
        <f>+(B19-4690000)*1.035+4690000+1</f>
        <v>242104615.45592472</v>
      </c>
      <c r="C20" s="85">
        <f>+(C19-4690000)*1.035+4690000</f>
        <v>466409054.933994</v>
      </c>
      <c r="D20" s="85"/>
      <c r="E20" s="86">
        <v>3.5</v>
      </c>
    </row>
    <row r="21" spans="1:5" ht="12.75" hidden="1">
      <c r="A21" s="49" t="s">
        <v>260</v>
      </c>
      <c r="B21" s="85">
        <f>+(B20-4690000)*1.033+4690000</f>
        <v>249939297.76597023</v>
      </c>
      <c r="C21" s="85">
        <f>+(C20-4690000)*1.033+4690000</f>
        <v>481645783.74681574</v>
      </c>
      <c r="D21" s="85"/>
      <c r="E21" s="86">
        <v>3.3</v>
      </c>
    </row>
    <row r="22" spans="1:5" ht="14.25" customHeight="1">
      <c r="A22" s="49" t="s">
        <v>261</v>
      </c>
      <c r="B22" s="85">
        <f>+(B21-4690000)*1.029+1+4690000</f>
        <v>257051528.40118334</v>
      </c>
      <c r="C22" s="85">
        <f>+(C21-4690000)*1.029+1+4690000</f>
        <v>495477502.47547334</v>
      </c>
      <c r="D22" s="85"/>
      <c r="E22" s="86" t="s">
        <v>56</v>
      </c>
    </row>
    <row r="23" spans="1:7" ht="15" customHeight="1">
      <c r="A23" s="90"/>
      <c r="B23" s="599" t="s">
        <v>312</v>
      </c>
      <c r="C23" s="599"/>
      <c r="D23" s="91">
        <v>31.9</v>
      </c>
      <c r="E23" s="92">
        <v>29.7</v>
      </c>
      <c r="G23" s="83" t="s">
        <v>56</v>
      </c>
    </row>
    <row r="24" spans="1:5" ht="12.75" hidden="1">
      <c r="A24" s="94" t="s">
        <v>274</v>
      </c>
      <c r="B24" s="95">
        <v>261089313</v>
      </c>
      <c r="C24" s="95">
        <v>503330103</v>
      </c>
      <c r="D24" s="95"/>
      <c r="E24" s="96">
        <v>1.6</v>
      </c>
    </row>
    <row r="25" spans="1:5" ht="12.75" hidden="1">
      <c r="A25" s="97" t="s">
        <v>275</v>
      </c>
      <c r="B25" s="98">
        <f>75000000-(B24-B22)</f>
        <v>70962215.40118334</v>
      </c>
      <c r="C25" s="98">
        <f>75000000-(C24-C22)</f>
        <v>67147399.47547334</v>
      </c>
      <c r="D25" s="98"/>
      <c r="E25" s="99"/>
    </row>
    <row r="26" spans="1:5" ht="12.75">
      <c r="A26" s="94" t="s">
        <v>274</v>
      </c>
      <c r="B26" s="100">
        <v>332051528</v>
      </c>
      <c r="C26" s="100">
        <f>+C24+C25</f>
        <v>570477502.4754734</v>
      </c>
      <c r="D26" s="100"/>
      <c r="E26" s="96"/>
    </row>
    <row r="27" spans="1:5" ht="12.75" hidden="1">
      <c r="A27" s="97" t="s">
        <v>251</v>
      </c>
      <c r="B27" s="101">
        <f>+(B24-4690000)*(1+E27/100)+4690000</f>
        <v>267755695.138</v>
      </c>
      <c r="C27" s="101">
        <f>+((C24-4690000)*1.026+4690000)</f>
        <v>516294745.67800003</v>
      </c>
      <c r="D27" s="101"/>
      <c r="E27" s="102">
        <v>2.6</v>
      </c>
    </row>
    <row r="28" spans="1:5" ht="12.75" hidden="1">
      <c r="A28" s="97" t="s">
        <v>252</v>
      </c>
      <c r="B28" s="101">
        <f>+B25-(B27-B24)</f>
        <v>64295833.263183326</v>
      </c>
      <c r="C28" s="101">
        <f>+C25-(C27-C24)-1</f>
        <v>54182755.79747331</v>
      </c>
      <c r="D28" s="101"/>
      <c r="E28" s="102"/>
    </row>
    <row r="29" spans="1:5" ht="12.75" hidden="1">
      <c r="A29" s="97" t="s">
        <v>253</v>
      </c>
      <c r="B29" s="101">
        <f>+B27+B28</f>
        <v>332051528.40118337</v>
      </c>
      <c r="C29" s="101">
        <f>+C27+C28+1</f>
        <v>570477502.4754734</v>
      </c>
      <c r="D29" s="101"/>
      <c r="E29" s="102"/>
    </row>
    <row r="30" spans="1:5" ht="12.75" hidden="1">
      <c r="A30" s="97" t="s">
        <v>254</v>
      </c>
      <c r="B30" s="101">
        <f>+((B27-4690000)*1.023+4690000)+2</f>
        <v>273806208.126174</v>
      </c>
      <c r="C30" s="101">
        <f>+((C27-4690000)*1.023+4690000)-99</f>
        <v>528061555.82859397</v>
      </c>
      <c r="D30" s="101"/>
      <c r="E30" s="102">
        <v>2.3</v>
      </c>
    </row>
    <row r="31" spans="1:5" ht="12.75" hidden="1">
      <c r="A31" s="97" t="s">
        <v>255</v>
      </c>
      <c r="B31" s="101">
        <f>+B28-(B30-B27)</f>
        <v>58245320.275009364</v>
      </c>
      <c r="C31" s="101">
        <f>+C28-(C30-C27)</f>
        <v>42415945.646879375</v>
      </c>
      <c r="D31" s="101"/>
      <c r="E31" s="102"/>
    </row>
    <row r="32" spans="1:5" ht="12.75" hidden="1">
      <c r="A32" s="97" t="s">
        <v>256</v>
      </c>
      <c r="B32" s="101">
        <f>+B30+B31</f>
        <v>332051528.40118337</v>
      </c>
      <c r="C32" s="101">
        <f>+C30+C31+1</f>
        <v>570477502.4754734</v>
      </c>
      <c r="D32" s="101"/>
      <c r="E32" s="102"/>
    </row>
    <row r="33" spans="1:5" ht="12.75" hidden="1">
      <c r="A33" s="97" t="s">
        <v>257</v>
      </c>
      <c r="B33" s="101">
        <f>+((B30-4690000)*1.031+4690000)</f>
        <v>282148810.57808536</v>
      </c>
      <c r="C33" s="101">
        <f>+((C30-4690000)*1.031+4690000)+104</f>
        <v>544286178.0592804</v>
      </c>
      <c r="D33" s="101"/>
      <c r="E33" s="102">
        <v>3.1</v>
      </c>
    </row>
    <row r="34" spans="1:5" ht="12.75" hidden="1">
      <c r="A34" s="97" t="s">
        <v>258</v>
      </c>
      <c r="B34" s="101">
        <f>+B31-(B33-B30)-1</f>
        <v>49902716.823097974</v>
      </c>
      <c r="C34" s="101">
        <f>+C31-(C33-C30)+1</f>
        <v>26191324.41619295</v>
      </c>
      <c r="D34" s="101"/>
      <c r="E34" s="102" t="s">
        <v>56</v>
      </c>
    </row>
    <row r="35" spans="1:5" ht="12.75" hidden="1">
      <c r="A35" s="97" t="s">
        <v>259</v>
      </c>
      <c r="B35" s="101">
        <f>+B33+B34+1</f>
        <v>332051528.40118337</v>
      </c>
      <c r="C35" s="101">
        <f>+C33+C34</f>
        <v>570477502.4754734</v>
      </c>
      <c r="D35" s="101"/>
      <c r="E35" s="102" t="s">
        <v>56</v>
      </c>
    </row>
    <row r="36" spans="1:5" ht="12.75" hidden="1">
      <c r="A36" s="97" t="s">
        <v>260</v>
      </c>
      <c r="B36" s="101">
        <f>+((B33-4690000)*1.021+4690000)+1</f>
        <v>287975446.60022515</v>
      </c>
      <c r="C36" s="101">
        <f>+((C33-4690000)*1.021+4690000)</f>
        <v>555617697.7985252</v>
      </c>
      <c r="D36" s="101"/>
      <c r="E36" s="102">
        <v>2.1</v>
      </c>
    </row>
    <row r="37" spans="1:5" ht="12.75" hidden="1">
      <c r="A37" s="97" t="s">
        <v>261</v>
      </c>
      <c r="B37" s="101">
        <f>+B34-(B36-B33)</f>
        <v>44076080.80095819</v>
      </c>
      <c r="C37" s="101">
        <f>+C34-(C36-C33)-1</f>
        <v>14859803.67694813</v>
      </c>
      <c r="D37" s="101"/>
      <c r="E37" s="102"/>
    </row>
    <row r="38" spans="1:5" ht="12.75" hidden="1">
      <c r="A38" s="97" t="s">
        <v>273</v>
      </c>
      <c r="B38" s="101">
        <f>+B36+B37+1</f>
        <v>332051528.40118337</v>
      </c>
      <c r="C38" s="101">
        <f>+C36+C37+1</f>
        <v>570477502.4754734</v>
      </c>
      <c r="D38" s="101"/>
      <c r="E38" s="102"/>
    </row>
    <row r="39" spans="1:5" ht="12.75" hidden="1">
      <c r="A39" s="97" t="s">
        <v>284</v>
      </c>
      <c r="B39" s="101">
        <f>+((B36-4690000)*1.016+4690000)+1</f>
        <v>292508014.74582875</v>
      </c>
      <c r="C39" s="101">
        <f>+((C36-4690000)*1.016+4690000)+1</f>
        <v>564432541.9633017</v>
      </c>
      <c r="D39" s="101"/>
      <c r="E39" s="102">
        <v>1.6</v>
      </c>
    </row>
    <row r="40" spans="1:5" ht="12.75" hidden="1">
      <c r="A40" s="97" t="s">
        <v>275</v>
      </c>
      <c r="B40" s="101">
        <f>+(B37-(B39-B36))</f>
        <v>39543512.65535459</v>
      </c>
      <c r="C40" s="101">
        <f>+(C37-(C39-C36))</f>
        <v>6044959.512171686</v>
      </c>
      <c r="D40" s="101"/>
      <c r="E40" s="102"/>
    </row>
    <row r="41" spans="1:5" ht="1.5" customHeight="1" hidden="1">
      <c r="A41" s="97" t="s">
        <v>273</v>
      </c>
      <c r="B41" s="101">
        <f>+B40+B39+1</f>
        <v>332051528.40118337</v>
      </c>
      <c r="C41" s="101">
        <f>+C40+C39+1</f>
        <v>570477502.4754734</v>
      </c>
      <c r="D41" s="101"/>
      <c r="E41" s="102"/>
    </row>
    <row r="42" spans="1:5" ht="12.75" hidden="1">
      <c r="A42" s="97" t="s">
        <v>286</v>
      </c>
      <c r="B42" s="101">
        <f>+B39</f>
        <v>292508014.74582875</v>
      </c>
      <c r="C42" s="101">
        <f>+C39</f>
        <v>564432541.9633017</v>
      </c>
      <c r="D42" s="101"/>
      <c r="E42" s="102">
        <v>-0.2</v>
      </c>
    </row>
    <row r="43" spans="1:5" ht="12.75" hidden="1">
      <c r="A43" s="97" t="s">
        <v>275</v>
      </c>
      <c r="B43" s="101">
        <f>+(B40-(B42-B39))</f>
        <v>39543512.65535459</v>
      </c>
      <c r="C43" s="101">
        <f>+(C40-(C42-C39))</f>
        <v>6044959.512171686</v>
      </c>
      <c r="D43" s="101"/>
      <c r="E43" s="102"/>
    </row>
    <row r="44" spans="1:5" ht="12.75" hidden="1">
      <c r="A44" s="97" t="s">
        <v>273</v>
      </c>
      <c r="B44" s="101">
        <f>+B43+B42+1</f>
        <v>332051528.40118337</v>
      </c>
      <c r="C44" s="101">
        <f>+C43+C42+1</f>
        <v>570477502.4754734</v>
      </c>
      <c r="D44" s="101"/>
      <c r="E44" s="102"/>
    </row>
    <row r="45" spans="1:5" ht="12.75" hidden="1">
      <c r="A45" s="97" t="s">
        <v>287</v>
      </c>
      <c r="B45" s="101">
        <f>+B42</f>
        <v>292508014.74582875</v>
      </c>
      <c r="C45" s="101">
        <f>+C42</f>
        <v>564432541.9633017</v>
      </c>
      <c r="D45" s="101"/>
      <c r="E45" s="102">
        <v>-0.4</v>
      </c>
    </row>
    <row r="46" spans="1:5" ht="12.75" hidden="1">
      <c r="A46" s="97" t="s">
        <v>275</v>
      </c>
      <c r="B46" s="101">
        <f>+(B43-(B45-B42))</f>
        <v>39543512.65535459</v>
      </c>
      <c r="C46" s="101">
        <f>+(C43-(C45-C42))</f>
        <v>6044959.512171686</v>
      </c>
      <c r="D46" s="101"/>
      <c r="E46" s="102"/>
    </row>
    <row r="47" spans="1:5" ht="12.75" hidden="1">
      <c r="A47" s="97" t="s">
        <v>273</v>
      </c>
      <c r="B47" s="101">
        <f>+B46+B45+1</f>
        <v>332051528.40118337</v>
      </c>
      <c r="C47" s="101">
        <f>+C46+C45+1</f>
        <v>570477502.4754734</v>
      </c>
      <c r="D47" s="101"/>
      <c r="E47" s="102"/>
    </row>
    <row r="48" spans="1:5" ht="12.75" hidden="1">
      <c r="A48" s="97" t="s">
        <v>288</v>
      </c>
      <c r="B48" s="101">
        <f>288393652+4690000-1</f>
        <v>293083651</v>
      </c>
      <c r="C48" s="101">
        <f>560862028+4690000-1</f>
        <v>565552027</v>
      </c>
      <c r="D48" s="101"/>
      <c r="E48" s="102">
        <v>0.2</v>
      </c>
    </row>
    <row r="49" spans="1:5" ht="12.75" hidden="1">
      <c r="A49" s="97" t="s">
        <v>275</v>
      </c>
      <c r="B49" s="101">
        <v>38967876</v>
      </c>
      <c r="C49" s="101">
        <v>4925474</v>
      </c>
      <c r="D49" s="101"/>
      <c r="E49" s="102"/>
    </row>
    <row r="50" spans="1:5" ht="12.75" hidden="1">
      <c r="A50" s="97" t="s">
        <v>273</v>
      </c>
      <c r="B50" s="101">
        <f>+B49+B48+1</f>
        <v>332051528</v>
      </c>
      <c r="C50" s="101">
        <f>+C49+C48+1</f>
        <v>570477502</v>
      </c>
      <c r="D50" s="101"/>
      <c r="E50" s="102"/>
    </row>
    <row r="51" spans="1:5" ht="12.75" hidden="1">
      <c r="A51" s="97" t="s">
        <v>289</v>
      </c>
      <c r="B51" s="101">
        <f>+((B48-4690000)*1.019+4690000)+2</f>
        <v>298563132.36899996</v>
      </c>
      <c r="C51" s="101">
        <f>+((C48-4690000)*1.019+4690000)+1</f>
        <v>576208406.5129999</v>
      </c>
      <c r="D51" s="101"/>
      <c r="E51" s="102">
        <v>1.9</v>
      </c>
    </row>
    <row r="52" spans="1:5" ht="12.75" hidden="1">
      <c r="A52" s="97" t="s">
        <v>275</v>
      </c>
      <c r="B52" s="101">
        <f>+(B49-(B51-B48))+1</f>
        <v>33488395.631000042</v>
      </c>
      <c r="C52" s="101">
        <v>0</v>
      </c>
      <c r="D52" s="101"/>
      <c r="E52" s="102"/>
    </row>
    <row r="53" spans="1:5" ht="0.75" customHeight="1" hidden="1">
      <c r="A53" s="97" t="s">
        <v>273</v>
      </c>
      <c r="B53" s="101">
        <f>+B52+B51</f>
        <v>332051528</v>
      </c>
      <c r="C53" s="101">
        <f>+C52+C51+1</f>
        <v>576208407.5129999</v>
      </c>
      <c r="D53" s="101"/>
      <c r="E53" s="102"/>
    </row>
    <row r="54" spans="1:5" ht="9" customHeight="1" hidden="1">
      <c r="A54" s="97" t="s">
        <v>294</v>
      </c>
      <c r="B54" s="101">
        <f>+((B51-4690000)*1.014+4690000)</f>
        <v>302677356.22216594</v>
      </c>
      <c r="C54" s="101">
        <f>+((C51-4690000)*1.014+4690000)+1</f>
        <v>584209665.2041819</v>
      </c>
      <c r="D54" s="101"/>
      <c r="E54" s="102">
        <v>1.4</v>
      </c>
    </row>
    <row r="55" spans="1:5" ht="12" customHeight="1" hidden="1">
      <c r="A55" s="97" t="s">
        <v>275</v>
      </c>
      <c r="B55" s="101">
        <f>+(B52-(B54-B51))</f>
        <v>29374171.777834058</v>
      </c>
      <c r="C55" s="101">
        <v>0</v>
      </c>
      <c r="D55" s="101"/>
      <c r="E55" s="102"/>
    </row>
    <row r="56" spans="1:5" ht="11.25" customHeight="1" hidden="1">
      <c r="A56" s="97" t="s">
        <v>273</v>
      </c>
      <c r="B56" s="101">
        <f>+B55+B54</f>
        <v>332051528</v>
      </c>
      <c r="C56" s="101">
        <f>+C55+C54</f>
        <v>584209665.2041819</v>
      </c>
      <c r="D56" s="101"/>
      <c r="E56" s="102"/>
    </row>
    <row r="57" spans="1:5" ht="11.25" customHeight="1" hidden="1">
      <c r="A57" s="97" t="s">
        <v>295</v>
      </c>
      <c r="B57" s="101">
        <f>+((B54-4690000)*1.016+4690000)</f>
        <v>307445153.9217206</v>
      </c>
      <c r="C57" s="101">
        <f>+((C54-4690000)*1.016+4690000)</f>
        <v>593481979.8474488</v>
      </c>
      <c r="D57" s="101"/>
      <c r="E57" s="102">
        <v>1.6</v>
      </c>
    </row>
    <row r="58" spans="1:5" ht="1.5" customHeight="1" hidden="1">
      <c r="A58" s="97" t="s">
        <v>275</v>
      </c>
      <c r="B58" s="101">
        <f>+(B55-(B57-B54))</f>
        <v>24606374.078279376</v>
      </c>
      <c r="C58" s="101">
        <v>0</v>
      </c>
      <c r="D58" s="101"/>
      <c r="E58" s="102"/>
    </row>
    <row r="59" spans="1:7" ht="17.25" customHeight="1">
      <c r="A59" s="103" t="s">
        <v>91</v>
      </c>
      <c r="B59" s="88">
        <v>332051528</v>
      </c>
      <c r="C59" s="88">
        <f>+C58+C57</f>
        <v>593481979.8474488</v>
      </c>
      <c r="D59" s="88"/>
      <c r="E59" s="89"/>
      <c r="G59" s="83" t="s">
        <v>56</v>
      </c>
    </row>
    <row r="60" spans="1:5" ht="16.5" customHeight="1">
      <c r="A60" s="104"/>
      <c r="B60" s="601" t="s">
        <v>312</v>
      </c>
      <c r="C60" s="601"/>
      <c r="D60" s="105">
        <f>((1.016*1.026*1.023*1.031*1.021*1.016*1.019*1.014*1.016*1.002)-1)*100</f>
        <v>19.968819733483166</v>
      </c>
      <c r="E60" s="105">
        <v>18.4</v>
      </c>
    </row>
    <row r="61" spans="1:5" ht="15.75" customHeight="1">
      <c r="A61" s="94" t="s">
        <v>296</v>
      </c>
      <c r="B61" s="100">
        <f>+(B59-4690000)*1.1+4690000</f>
        <v>364787680.8</v>
      </c>
      <c r="C61" s="100">
        <f>+(C59-4690000)*1.1+4690000</f>
        <v>652361177.8321937</v>
      </c>
      <c r="D61" s="100"/>
      <c r="E61" s="96" t="s">
        <v>56</v>
      </c>
    </row>
    <row r="62" spans="1:5" ht="12.75" customHeight="1">
      <c r="A62" s="103" t="s">
        <v>300</v>
      </c>
      <c r="B62" s="88">
        <f>+(B61-4690000)*1.1+4690000+50</f>
        <v>400797498.88000005</v>
      </c>
      <c r="C62" s="88">
        <f>+(C61-4690000)*1.1+4690000-49</f>
        <v>717128246.6154132</v>
      </c>
      <c r="D62" s="88"/>
      <c r="E62" s="89" t="s">
        <v>56</v>
      </c>
    </row>
    <row r="63" spans="1:5" ht="16.5" customHeight="1">
      <c r="A63" s="104"/>
      <c r="B63" s="601" t="s">
        <v>312</v>
      </c>
      <c r="C63" s="601"/>
      <c r="D63" s="105">
        <v>21</v>
      </c>
      <c r="E63" s="105">
        <v>9.3</v>
      </c>
    </row>
    <row r="64" spans="1:5" ht="18" customHeight="1">
      <c r="A64" s="94" t="s">
        <v>304</v>
      </c>
      <c r="B64" s="100">
        <f>+(B62-4690000)*1.06+4690000</f>
        <v>424563948.81280005</v>
      </c>
      <c r="C64" s="100">
        <f>+(C62-4690000)*1.06+4690000</f>
        <v>759874541.412338</v>
      </c>
      <c r="D64" s="106" t="s">
        <v>56</v>
      </c>
      <c r="E64" s="96" t="s">
        <v>56</v>
      </c>
    </row>
    <row r="65" spans="1:5" ht="18" customHeight="1">
      <c r="A65" s="103" t="s">
        <v>305</v>
      </c>
      <c r="B65" s="88">
        <f>+(B64-4690000)*1.06+4690000</f>
        <v>449756385.7415681</v>
      </c>
      <c r="C65" s="88">
        <f>+(C64-4690000)*1.06+4690000</f>
        <v>805185613.8970784</v>
      </c>
      <c r="D65" s="107" t="s">
        <v>56</v>
      </c>
      <c r="E65" s="89"/>
    </row>
    <row r="66" spans="1:5" ht="15.75" customHeight="1">
      <c r="A66" s="97"/>
      <c r="B66" s="108" t="s">
        <v>56</v>
      </c>
      <c r="C66" s="108"/>
      <c r="D66" s="109">
        <v>12.3</v>
      </c>
      <c r="E66" s="102">
        <v>7.7</v>
      </c>
    </row>
    <row r="67" spans="1:6" ht="18" customHeight="1">
      <c r="A67" s="91" t="s">
        <v>308</v>
      </c>
      <c r="B67" s="110">
        <f>+(((B65-4690000)*1.04)*1.03+4690000)/1000000</f>
        <v>481.4451124063678</v>
      </c>
      <c r="C67" s="110">
        <f>+(((C65-4690000)*1.04)*1.03+4690000)/1000000</f>
        <v>862.1809016065505</v>
      </c>
      <c r="D67" s="111">
        <v>7</v>
      </c>
      <c r="E67" s="93" t="s">
        <v>56</v>
      </c>
      <c r="F67" s="83" t="s">
        <v>56</v>
      </c>
    </row>
    <row r="68" spans="1:6" ht="54.75" customHeight="1">
      <c r="A68" s="602" t="s">
        <v>503</v>
      </c>
      <c r="B68" s="602"/>
      <c r="C68" s="602"/>
      <c r="D68" s="602"/>
      <c r="E68" s="602"/>
      <c r="F68" s="83" t="s">
        <v>56</v>
      </c>
    </row>
    <row r="69" spans="1:6" ht="24.75" customHeight="1">
      <c r="A69" s="600" t="s">
        <v>309</v>
      </c>
      <c r="B69" s="600"/>
      <c r="C69" s="600"/>
      <c r="D69" s="600"/>
      <c r="E69" s="600"/>
      <c r="F69" s="83" t="s">
        <v>56</v>
      </c>
    </row>
    <row r="70" ht="11.25">
      <c r="F70" s="83" t="s">
        <v>56</v>
      </c>
    </row>
    <row r="72" ht="11.25">
      <c r="G72" s="83" t="s">
        <v>56</v>
      </c>
    </row>
    <row r="74" ht="11.25">
      <c r="G74" s="83" t="s">
        <v>56</v>
      </c>
    </row>
  </sheetData>
  <mergeCells count="9">
    <mergeCell ref="A69:E69"/>
    <mergeCell ref="B23:C23"/>
    <mergeCell ref="B60:C60"/>
    <mergeCell ref="B63:C63"/>
    <mergeCell ref="A68:E68"/>
    <mergeCell ref="A1:E1"/>
    <mergeCell ref="A2:E2"/>
    <mergeCell ref="B7:C7"/>
    <mergeCell ref="B10:C10"/>
  </mergeCells>
  <printOptions/>
  <pageMargins left="0.88" right="0.75" top="1" bottom="1" header="0.5" footer="0.5"/>
  <pageSetup horizontalDpi="300" verticalDpi="300" orientation="portrait" paperSize="9" r:id="rId2"/>
  <headerFooter alignWithMargins="0">
    <oddFooter>&amp;C19</oddFooter>
  </headerFooter>
  <drawing r:id="rId1"/>
</worksheet>
</file>

<file path=xl/worksheets/sheet21.xml><?xml version="1.0" encoding="utf-8"?>
<worksheet xmlns="http://schemas.openxmlformats.org/spreadsheetml/2006/main" xmlns:r="http://schemas.openxmlformats.org/officeDocument/2006/relationships">
  <sheetPr>
    <tabColor indexed="12"/>
  </sheetPr>
  <dimension ref="A1:Y35"/>
  <sheetViews>
    <sheetView showGridLines="0" workbookViewId="0" topLeftCell="B13">
      <selection activeCell="A23" sqref="A23:I23"/>
    </sheetView>
  </sheetViews>
  <sheetFormatPr defaultColWidth="9.00390625" defaultRowHeight="12.75"/>
  <cols>
    <col min="1" max="1" width="14.625" style="1" customWidth="1"/>
    <col min="2" max="2" width="15.375" style="1" customWidth="1"/>
    <col min="3" max="3" width="14.375" style="1" customWidth="1"/>
    <col min="4" max="4" width="10.625" style="1" customWidth="1"/>
    <col min="5" max="5" width="16.125" style="1" customWidth="1"/>
    <col min="6" max="6" width="14.625" style="1" customWidth="1"/>
    <col min="7" max="7" width="11.625" style="1" customWidth="1"/>
    <col min="8" max="8" width="14.375" style="1" customWidth="1"/>
    <col min="9" max="9" width="12.125" style="1" customWidth="1"/>
    <col min="10" max="16384" width="9.125" style="1" customWidth="1"/>
  </cols>
  <sheetData>
    <row r="1" spans="1:9" s="4" customFormat="1" ht="15">
      <c r="A1" s="496" t="s">
        <v>466</v>
      </c>
      <c r="B1" s="483"/>
      <c r="C1" s="483"/>
      <c r="D1" s="483"/>
      <c r="E1" s="483"/>
      <c r="F1" s="483"/>
      <c r="G1" s="483"/>
      <c r="H1" s="483"/>
      <c r="I1" s="483"/>
    </row>
    <row r="2" spans="1:9" s="4" customFormat="1" ht="6.75" customHeight="1">
      <c r="A2" s="78"/>
      <c r="B2" s="79"/>
      <c r="C2" s="79"/>
      <c r="D2" s="79"/>
      <c r="E2" s="79"/>
      <c r="F2" s="79"/>
      <c r="G2" s="79"/>
      <c r="H2" s="79"/>
      <c r="I2" s="79"/>
    </row>
    <row r="3" spans="1:9" ht="16.5" thickBot="1">
      <c r="A3" s="16" t="s">
        <v>317</v>
      </c>
      <c r="I3" s="11" t="s">
        <v>278</v>
      </c>
    </row>
    <row r="4" spans="1:9" ht="12.75" customHeight="1" thickTop="1">
      <c r="A4" s="610" t="s">
        <v>66</v>
      </c>
      <c r="B4" s="606" t="s">
        <v>282</v>
      </c>
      <c r="C4" s="606" t="s">
        <v>283</v>
      </c>
      <c r="D4" s="606" t="s">
        <v>99</v>
      </c>
      <c r="E4" s="604" t="s">
        <v>269</v>
      </c>
      <c r="F4" s="606" t="s">
        <v>270</v>
      </c>
      <c r="G4" s="606" t="s">
        <v>99</v>
      </c>
      <c r="H4" s="608" t="s">
        <v>302</v>
      </c>
      <c r="I4" s="613" t="s">
        <v>99</v>
      </c>
    </row>
    <row r="5" spans="1:9" ht="59.25" customHeight="1">
      <c r="A5" s="611"/>
      <c r="B5" s="607"/>
      <c r="C5" s="607"/>
      <c r="D5" s="607"/>
      <c r="E5" s="605"/>
      <c r="F5" s="607"/>
      <c r="G5" s="607"/>
      <c r="H5" s="609"/>
      <c r="I5" s="614"/>
    </row>
    <row r="6" spans="1:9" ht="18" customHeight="1">
      <c r="A6" s="262">
        <v>1995</v>
      </c>
      <c r="B6" s="263">
        <v>34746.8</v>
      </c>
      <c r="C6" s="263">
        <f aca="true" t="shared" si="0" ref="C6:C14">+(B6/H6)*100</f>
        <v>77.63867320604632</v>
      </c>
      <c r="D6" s="263"/>
      <c r="E6" s="264">
        <v>10007.7</v>
      </c>
      <c r="F6" s="264">
        <f aca="true" t="shared" si="1" ref="F6:F14">+(E6/H6)*100</f>
        <v>22.36132679395368</v>
      </c>
      <c r="G6" s="263"/>
      <c r="H6" s="265">
        <f aca="true" t="shared" si="2" ref="H6:H14">+E6+B6</f>
        <v>44754.5</v>
      </c>
      <c r="I6" s="266"/>
    </row>
    <row r="7" spans="1:9" ht="18" customHeight="1">
      <c r="A7" s="262">
        <v>1996</v>
      </c>
      <c r="B7" s="263">
        <v>66029.5</v>
      </c>
      <c r="C7" s="263">
        <f t="shared" si="0"/>
        <v>75.08710761770901</v>
      </c>
      <c r="D7" s="263">
        <f aca="true" t="shared" si="3" ref="D7:D14">(+B7/B6)*100-100</f>
        <v>90.03044884708805</v>
      </c>
      <c r="E7" s="264">
        <v>21907.7</v>
      </c>
      <c r="F7" s="264">
        <f t="shared" si="1"/>
        <v>24.912892382291</v>
      </c>
      <c r="G7" s="263">
        <f aca="true" t="shared" si="4" ref="G7:G14">(+E7/E6)*100-100</f>
        <v>118.90844050081438</v>
      </c>
      <c r="H7" s="265">
        <f t="shared" si="2"/>
        <v>87937.2</v>
      </c>
      <c r="I7" s="266">
        <f aca="true" t="shared" si="5" ref="I7:I14">(+H7/H6)*100-100</f>
        <v>96.48795093230848</v>
      </c>
    </row>
    <row r="8" spans="1:9" ht="18" customHeight="1">
      <c r="A8" s="262">
        <v>1997</v>
      </c>
      <c r="B8" s="263">
        <v>146513.7</v>
      </c>
      <c r="C8" s="263">
        <f t="shared" si="0"/>
        <v>73.53986818270113</v>
      </c>
      <c r="D8" s="263">
        <f t="shared" si="3"/>
        <v>121.89127586911911</v>
      </c>
      <c r="E8" s="264">
        <v>52716.6</v>
      </c>
      <c r="F8" s="264">
        <f t="shared" si="1"/>
        <v>26.460131817298873</v>
      </c>
      <c r="G8" s="263">
        <f t="shared" si="4"/>
        <v>140.6304632617755</v>
      </c>
      <c r="H8" s="265">
        <f t="shared" si="2"/>
        <v>199230.30000000002</v>
      </c>
      <c r="I8" s="266">
        <f t="shared" si="5"/>
        <v>126.55974945756748</v>
      </c>
    </row>
    <row r="9" spans="1:9" ht="18" customHeight="1">
      <c r="A9" s="267">
        <v>1998</v>
      </c>
      <c r="B9" s="263">
        <v>295013.3</v>
      </c>
      <c r="C9" s="263">
        <f t="shared" si="0"/>
        <v>72.63108396390274</v>
      </c>
      <c r="D9" s="263">
        <f t="shared" si="3"/>
        <v>101.35543638581237</v>
      </c>
      <c r="E9" s="264">
        <v>111167.2</v>
      </c>
      <c r="F9" s="264">
        <f t="shared" si="1"/>
        <v>27.36891603609725</v>
      </c>
      <c r="G9" s="263">
        <f t="shared" si="4"/>
        <v>110.87702924695449</v>
      </c>
      <c r="H9" s="265">
        <f t="shared" si="2"/>
        <v>406180.5</v>
      </c>
      <c r="I9" s="266">
        <f t="shared" si="5"/>
        <v>103.8748624079771</v>
      </c>
    </row>
    <row r="10" spans="1:9" ht="18" customHeight="1">
      <c r="A10" s="267">
        <v>1999</v>
      </c>
      <c r="B10" s="263">
        <v>525626.2</v>
      </c>
      <c r="C10" s="263">
        <f t="shared" si="0"/>
        <v>70.20522920076746</v>
      </c>
      <c r="D10" s="263">
        <f t="shared" si="3"/>
        <v>78.17034011686928</v>
      </c>
      <c r="E10" s="264">
        <v>223073.3</v>
      </c>
      <c r="F10" s="264">
        <f t="shared" si="1"/>
        <v>29.794770799232534</v>
      </c>
      <c r="G10" s="263">
        <f t="shared" si="4"/>
        <v>100.66467447232634</v>
      </c>
      <c r="H10" s="265">
        <f t="shared" si="2"/>
        <v>748699.5</v>
      </c>
      <c r="I10" s="266">
        <f t="shared" si="5"/>
        <v>84.32679559949332</v>
      </c>
    </row>
    <row r="11" spans="1:9" ht="18" customHeight="1">
      <c r="A11" s="267">
        <v>2000</v>
      </c>
      <c r="B11" s="263">
        <v>872956.2</v>
      </c>
      <c r="C11" s="263">
        <f t="shared" si="0"/>
        <v>68.18964515234003</v>
      </c>
      <c r="D11" s="263">
        <f t="shared" si="3"/>
        <v>66.07927839213494</v>
      </c>
      <c r="E11" s="264">
        <v>407232.6</v>
      </c>
      <c r="F11" s="264">
        <f t="shared" si="1"/>
        <v>31.810354847659973</v>
      </c>
      <c r="G11" s="263">
        <f t="shared" si="4"/>
        <v>82.55550978086575</v>
      </c>
      <c r="H11" s="265">
        <f t="shared" si="2"/>
        <v>1280188.7999999998</v>
      </c>
      <c r="I11" s="266">
        <f t="shared" si="5"/>
        <v>70.98833377075846</v>
      </c>
    </row>
    <row r="12" spans="1:9" ht="18" customHeight="1">
      <c r="A12" s="267">
        <v>2001</v>
      </c>
      <c r="B12" s="263">
        <v>1527662.8</v>
      </c>
      <c r="C12" s="263">
        <f t="shared" si="0"/>
        <v>67.65684174051808</v>
      </c>
      <c r="D12" s="263">
        <f t="shared" si="3"/>
        <v>74.99879146284775</v>
      </c>
      <c r="E12" s="264">
        <v>730294.8</v>
      </c>
      <c r="F12" s="264">
        <f t="shared" si="1"/>
        <v>32.34315825948193</v>
      </c>
      <c r="G12" s="263">
        <f t="shared" si="4"/>
        <v>79.33112427639637</v>
      </c>
      <c r="H12" s="265">
        <f t="shared" si="2"/>
        <v>2257957.6</v>
      </c>
      <c r="I12" s="266">
        <f t="shared" si="5"/>
        <v>76.37692190401918</v>
      </c>
    </row>
    <row r="13" spans="1:9" ht="18" customHeight="1">
      <c r="A13" s="267">
        <v>2002</v>
      </c>
      <c r="B13" s="263">
        <v>2532071.1</v>
      </c>
      <c r="C13" s="263">
        <f t="shared" si="0"/>
        <v>70.44586725149561</v>
      </c>
      <c r="D13" s="263">
        <f t="shared" si="3"/>
        <v>65.74803680498079</v>
      </c>
      <c r="E13" s="264">
        <f>807771+254508</f>
        <v>1062279</v>
      </c>
      <c r="F13" s="264">
        <f t="shared" si="1"/>
        <v>29.55413274850438</v>
      </c>
      <c r="G13" s="263">
        <f t="shared" si="4"/>
        <v>45.45892973632019</v>
      </c>
      <c r="H13" s="265">
        <f t="shared" si="2"/>
        <v>3594350.1</v>
      </c>
      <c r="I13" s="266">
        <f t="shared" si="5"/>
        <v>59.18589879632813</v>
      </c>
    </row>
    <row r="14" spans="1:9" ht="18" customHeight="1">
      <c r="A14" s="267">
        <v>2003</v>
      </c>
      <c r="B14" s="263">
        <v>3485630.5</v>
      </c>
      <c r="C14" s="263">
        <f t="shared" si="0"/>
        <v>69.9758072046064</v>
      </c>
      <c r="D14" s="263">
        <f t="shared" si="3"/>
        <v>37.659266361043336</v>
      </c>
      <c r="E14" s="264">
        <v>1495563.2</v>
      </c>
      <c r="F14" s="264">
        <f t="shared" si="1"/>
        <v>30.0241927953936</v>
      </c>
      <c r="G14" s="263">
        <f t="shared" si="4"/>
        <v>40.78817335182188</v>
      </c>
      <c r="H14" s="265">
        <f t="shared" si="2"/>
        <v>4981193.7</v>
      </c>
      <c r="I14" s="266">
        <f t="shared" si="5"/>
        <v>38.58398768667527</v>
      </c>
    </row>
    <row r="15" spans="1:9" ht="18" customHeight="1" thickBot="1">
      <c r="A15" s="385">
        <v>2004</v>
      </c>
      <c r="B15" s="386">
        <f>+H15-E15</f>
        <v>4024229.128</v>
      </c>
      <c r="C15" s="386">
        <f>+(B15/H15)*100</f>
        <v>60.64521581851837</v>
      </c>
      <c r="D15" s="386">
        <f>(+B15/B14)*100-100</f>
        <v>15.451971400869937</v>
      </c>
      <c r="E15" s="387">
        <v>2611461.872</v>
      </c>
      <c r="F15" s="387">
        <f>+(E15/H15)*100</f>
        <v>39.35478418148163</v>
      </c>
      <c r="G15" s="386">
        <f>(+E15/E14)*100-100</f>
        <v>74.61394289455637</v>
      </c>
      <c r="H15" s="388">
        <v>6635691</v>
      </c>
      <c r="I15" s="389">
        <f>(+H15/H14)*100-100</f>
        <v>33.21487578369016</v>
      </c>
    </row>
    <row r="16" spans="1:9" ht="21.75" customHeight="1" thickBot="1" thickTop="1">
      <c r="A16" s="612" t="s">
        <v>301</v>
      </c>
      <c r="B16" s="612"/>
      <c r="C16" s="612"/>
      <c r="D16" s="612"/>
      <c r="E16" s="612"/>
      <c r="F16" s="612"/>
      <c r="G16" s="612"/>
      <c r="H16" s="612"/>
      <c r="I16" s="612"/>
    </row>
    <row r="17" spans="1:9" ht="13.5" thickTop="1">
      <c r="A17" s="610" t="s">
        <v>66</v>
      </c>
      <c r="B17" s="606" t="s">
        <v>499</v>
      </c>
      <c r="C17" s="606" t="s">
        <v>500</v>
      </c>
      <c r="D17" s="606" t="s">
        <v>99</v>
      </c>
      <c r="E17" s="604" t="s">
        <v>494</v>
      </c>
      <c r="F17" s="606" t="s">
        <v>496</v>
      </c>
      <c r="G17" s="606" t="s">
        <v>99</v>
      </c>
      <c r="H17" s="608" t="s">
        <v>31</v>
      </c>
      <c r="I17" s="613" t="s">
        <v>99</v>
      </c>
    </row>
    <row r="18" spans="1:9" ht="71.25" customHeight="1">
      <c r="A18" s="611"/>
      <c r="B18" s="607"/>
      <c r="C18" s="607"/>
      <c r="D18" s="607"/>
      <c r="E18" s="605"/>
      <c r="F18" s="607"/>
      <c r="G18" s="607"/>
      <c r="H18" s="609"/>
      <c r="I18" s="614"/>
    </row>
    <row r="19" spans="1:9" s="261" customFormat="1" ht="18" customHeight="1">
      <c r="A19" s="267" t="s">
        <v>306</v>
      </c>
      <c r="B19" s="263">
        <f>+H19-E19</f>
        <v>1575206</v>
      </c>
      <c r="C19" s="263">
        <f>+(B19/H19)*100</f>
        <v>20.518229202283933</v>
      </c>
      <c r="D19" s="268">
        <f>(+B19/B15)*100-100</f>
        <v>-60.85695048922672</v>
      </c>
      <c r="E19" s="264">
        <f>3430913+2670986</f>
        <v>6101899</v>
      </c>
      <c r="F19" s="264">
        <f>+(E19/H19)*100</f>
        <v>79.48177079771607</v>
      </c>
      <c r="G19" s="263">
        <f>(+E19/E15)*100-100</f>
        <v>133.65836068388904</v>
      </c>
      <c r="H19" s="265">
        <v>7677105</v>
      </c>
      <c r="I19" s="266">
        <f>(+H19/H15)*100-100</f>
        <v>15.69413042289041</v>
      </c>
    </row>
    <row r="20" spans="1:9" ht="30.75" customHeight="1" thickBot="1">
      <c r="A20" s="269" t="s">
        <v>307</v>
      </c>
      <c r="B20" s="270">
        <f>+H20-E20</f>
        <v>575330</v>
      </c>
      <c r="C20" s="270">
        <f>+(B20/H20)*100</f>
        <v>5.656506427660516</v>
      </c>
      <c r="D20" s="271">
        <f>(+B20/B19)*100-100</f>
        <v>-63.47588823303111</v>
      </c>
      <c r="E20" s="272">
        <f>4799560+1821991+2974238</f>
        <v>9595789</v>
      </c>
      <c r="F20" s="272">
        <f>+(E20/H20)*100</f>
        <v>94.34349357233948</v>
      </c>
      <c r="G20" s="270">
        <f>(+E20/E19)*100-100</f>
        <v>57.25905984350118</v>
      </c>
      <c r="H20" s="273">
        <v>10171119</v>
      </c>
      <c r="I20" s="274">
        <f>(+H20/H19)*100-100</f>
        <v>32.4863864698998</v>
      </c>
    </row>
    <row r="21" spans="1:9" ht="13.5" thickTop="1">
      <c r="A21" s="603" t="s">
        <v>491</v>
      </c>
      <c r="B21" s="603"/>
      <c r="C21" s="603"/>
      <c r="D21" s="603"/>
      <c r="E21" s="603"/>
      <c r="F21" s="603"/>
      <c r="G21" s="603"/>
      <c r="H21" s="603"/>
      <c r="I21" s="603"/>
    </row>
    <row r="22" spans="1:25" ht="12.75">
      <c r="A22" s="612" t="s">
        <v>495</v>
      </c>
      <c r="B22" s="612"/>
      <c r="C22" s="612"/>
      <c r="D22" s="612"/>
      <c r="E22" s="612"/>
      <c r="F22" s="612"/>
      <c r="G22" s="612"/>
      <c r="H22" s="612"/>
      <c r="I22" s="612"/>
      <c r="J22" s="99"/>
      <c r="K22" s="99"/>
      <c r="L22" s="99"/>
      <c r="M22" s="99"/>
      <c r="N22" s="99"/>
      <c r="O22" s="99"/>
      <c r="P22" s="99"/>
      <c r="Q22" s="99"/>
      <c r="R22" s="99"/>
      <c r="S22" s="99"/>
      <c r="T22" s="99"/>
      <c r="U22" s="99"/>
      <c r="V22" s="99"/>
      <c r="W22" s="99"/>
      <c r="X22" s="99"/>
      <c r="Y22" s="99"/>
    </row>
    <row r="23" spans="1:9" ht="15.75" customHeight="1">
      <c r="A23" s="603" t="s">
        <v>497</v>
      </c>
      <c r="B23" s="603"/>
      <c r="C23" s="603"/>
      <c r="D23" s="603"/>
      <c r="E23" s="603"/>
      <c r="F23" s="603"/>
      <c r="G23" s="603"/>
      <c r="H23" s="603"/>
      <c r="I23" s="603"/>
    </row>
    <row r="24" ht="12.75">
      <c r="A24" s="1" t="s">
        <v>498</v>
      </c>
    </row>
    <row r="35" ht="12.75">
      <c r="E35" s="1" t="s">
        <v>56</v>
      </c>
    </row>
  </sheetData>
  <mergeCells count="23">
    <mergeCell ref="A1:I1"/>
    <mergeCell ref="A4:A5"/>
    <mergeCell ref="H4:H5"/>
    <mergeCell ref="I17:I18"/>
    <mergeCell ref="D17:D18"/>
    <mergeCell ref="F4:F5"/>
    <mergeCell ref="G4:G5"/>
    <mergeCell ref="I4:I5"/>
    <mergeCell ref="A16:I16"/>
    <mergeCell ref="B4:B5"/>
    <mergeCell ref="C4:C5"/>
    <mergeCell ref="D4:D5"/>
    <mergeCell ref="E4:E5"/>
    <mergeCell ref="A22:I22"/>
    <mergeCell ref="A23:I23"/>
    <mergeCell ref="A21:I21"/>
    <mergeCell ref="E17:E18"/>
    <mergeCell ref="F17:F18"/>
    <mergeCell ref="G17:G18"/>
    <mergeCell ref="H17:H18"/>
    <mergeCell ref="A17:A18"/>
    <mergeCell ref="B17:B18"/>
    <mergeCell ref="C17:C18"/>
  </mergeCells>
  <printOptions/>
  <pageMargins left="0.75" right="0.75" top="0.54" bottom="0.38" header="0.5" footer="0.5"/>
  <pageSetup horizontalDpi="300" verticalDpi="300" orientation="landscape" paperSize="9"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sheetPr>
    <tabColor indexed="12"/>
  </sheetPr>
  <dimension ref="A1:I20"/>
  <sheetViews>
    <sheetView showGridLines="0" workbookViewId="0" topLeftCell="A28">
      <selection activeCell="B17" sqref="B17"/>
    </sheetView>
  </sheetViews>
  <sheetFormatPr defaultColWidth="9.00390625" defaultRowHeight="12.75"/>
  <cols>
    <col min="1" max="1" width="15.625" style="1" customWidth="1"/>
    <col min="2" max="2" width="14.75390625" style="1" customWidth="1"/>
    <col min="3" max="3" width="11.00390625" style="1" customWidth="1"/>
    <col min="4" max="4" width="11.75390625" style="1" customWidth="1"/>
    <col min="5" max="5" width="13.25390625" style="1" customWidth="1"/>
    <col min="6" max="6" width="11.625" style="1" customWidth="1"/>
    <col min="7" max="7" width="11.375" style="1" customWidth="1"/>
    <col min="8" max="12" width="9.125" style="1" customWidth="1"/>
    <col min="13" max="13" width="10.00390625" style="1" customWidth="1"/>
    <col min="14" max="15" width="10.375" style="1" customWidth="1"/>
    <col min="16" max="16" width="10.125" style="1" customWidth="1"/>
    <col min="17" max="16384" width="9.125" style="1" customWidth="1"/>
  </cols>
  <sheetData>
    <row r="1" spans="1:7" s="4" customFormat="1" ht="17.25" customHeight="1">
      <c r="A1" s="615" t="s">
        <v>467</v>
      </c>
      <c r="B1" s="483"/>
      <c r="C1" s="483"/>
      <c r="D1" s="483"/>
      <c r="E1" s="483"/>
      <c r="F1" s="483"/>
      <c r="G1" s="483"/>
    </row>
    <row r="2" s="4" customFormat="1" ht="6.75" customHeight="1">
      <c r="A2" s="80"/>
    </row>
    <row r="3" spans="1:6" s="4" customFormat="1" ht="18" customHeight="1" thickBot="1">
      <c r="A3" s="16" t="s">
        <v>318</v>
      </c>
      <c r="F3" s="81"/>
    </row>
    <row r="4" spans="1:7" ht="19.5" customHeight="1" thickTop="1">
      <c r="A4" s="621" t="s">
        <v>66</v>
      </c>
      <c r="B4" s="289" t="s">
        <v>56</v>
      </c>
      <c r="C4" s="619" t="s">
        <v>271</v>
      </c>
      <c r="D4" s="619"/>
      <c r="E4" s="619"/>
      <c r="F4" s="289"/>
      <c r="G4" s="290"/>
    </row>
    <row r="5" spans="1:7" ht="43.5" customHeight="1">
      <c r="A5" s="622"/>
      <c r="B5" s="287" t="s">
        <v>281</v>
      </c>
      <c r="C5" s="275" t="s">
        <v>279</v>
      </c>
      <c r="D5" s="275" t="s">
        <v>280</v>
      </c>
      <c r="E5" s="275" t="s">
        <v>285</v>
      </c>
      <c r="F5" s="287" t="s">
        <v>276</v>
      </c>
      <c r="G5" s="288" t="s">
        <v>277</v>
      </c>
    </row>
    <row r="6" spans="1:7" ht="18" customHeight="1">
      <c r="A6" s="276">
        <v>1995</v>
      </c>
      <c r="B6" s="283">
        <v>44754.5</v>
      </c>
      <c r="C6" s="283">
        <v>17141.8</v>
      </c>
      <c r="D6" s="278" t="s">
        <v>100</v>
      </c>
      <c r="E6" s="278">
        <f aca="true" t="shared" si="0" ref="E6:E14">+C6/B6*100</f>
        <v>38.301846741668435</v>
      </c>
      <c r="F6" s="277"/>
      <c r="G6" s="279"/>
    </row>
    <row r="7" spans="1:7" ht="18" customHeight="1">
      <c r="A7" s="276">
        <v>1996</v>
      </c>
      <c r="B7" s="283">
        <v>87937.2</v>
      </c>
      <c r="C7" s="283">
        <f aca="true" t="shared" si="1" ref="C7:C14">+F7+G7</f>
        <v>32033.6</v>
      </c>
      <c r="D7" s="278">
        <f aca="true" t="shared" si="2" ref="D7:D14">+(C7/C6)*100-100</f>
        <v>86.87419057508546</v>
      </c>
      <c r="E7" s="278">
        <f t="shared" si="0"/>
        <v>36.42781439481812</v>
      </c>
      <c r="F7" s="283">
        <v>27439.3</v>
      </c>
      <c r="G7" s="285">
        <v>4594.3</v>
      </c>
    </row>
    <row r="8" spans="1:7" ht="18" customHeight="1">
      <c r="A8" s="276">
        <v>1997</v>
      </c>
      <c r="B8" s="283">
        <v>199230.4</v>
      </c>
      <c r="C8" s="283">
        <f t="shared" si="1"/>
        <v>71224.4</v>
      </c>
      <c r="D8" s="278">
        <f t="shared" si="2"/>
        <v>122.34279007042605</v>
      </c>
      <c r="E8" s="278">
        <f t="shared" si="0"/>
        <v>35.74976509608975</v>
      </c>
      <c r="F8" s="283">
        <v>60064.7</v>
      </c>
      <c r="G8" s="285">
        <v>11159.7</v>
      </c>
    </row>
    <row r="9" spans="1:7" ht="18" customHeight="1">
      <c r="A9" s="280">
        <v>1998</v>
      </c>
      <c r="B9" s="283">
        <v>406180.4</v>
      </c>
      <c r="C9" s="283">
        <f t="shared" si="1"/>
        <v>165584.5</v>
      </c>
      <c r="D9" s="278">
        <f t="shared" si="2"/>
        <v>132.48282891817973</v>
      </c>
      <c r="E9" s="278">
        <f t="shared" si="0"/>
        <v>40.76624573711582</v>
      </c>
      <c r="F9" s="283">
        <v>138100</v>
      </c>
      <c r="G9" s="285">
        <v>27484.5</v>
      </c>
    </row>
    <row r="10" spans="1:7" ht="18" customHeight="1">
      <c r="A10" s="280">
        <v>1999</v>
      </c>
      <c r="B10" s="283" t="s">
        <v>272</v>
      </c>
      <c r="C10" s="283">
        <f t="shared" si="1"/>
        <v>304016.7</v>
      </c>
      <c r="D10" s="278">
        <f t="shared" si="2"/>
        <v>83.60214875184576</v>
      </c>
      <c r="E10" s="278">
        <f t="shared" si="0"/>
        <v>40.6059707532862</v>
      </c>
      <c r="F10" s="283">
        <v>247198.1</v>
      </c>
      <c r="G10" s="285">
        <v>56818.6</v>
      </c>
    </row>
    <row r="11" spans="1:7" ht="18" customHeight="1">
      <c r="A11" s="280">
        <v>2000</v>
      </c>
      <c r="B11" s="283">
        <v>1280188.8</v>
      </c>
      <c r="C11" s="283">
        <f t="shared" si="1"/>
        <v>572409.2999999999</v>
      </c>
      <c r="D11" s="278">
        <f t="shared" si="2"/>
        <v>88.2821897612861</v>
      </c>
      <c r="E11" s="278">
        <f t="shared" si="0"/>
        <v>44.71288141249165</v>
      </c>
      <c r="F11" s="283">
        <v>445379.1</v>
      </c>
      <c r="G11" s="285">
        <v>127030.2</v>
      </c>
    </row>
    <row r="12" spans="1:7" ht="18" customHeight="1">
      <c r="A12" s="280">
        <v>2001</v>
      </c>
      <c r="B12" s="283">
        <v>2257957.6</v>
      </c>
      <c r="C12" s="283">
        <f t="shared" si="1"/>
        <v>992615.6000000001</v>
      </c>
      <c r="D12" s="278">
        <f t="shared" si="2"/>
        <v>73.4101105624944</v>
      </c>
      <c r="E12" s="278">
        <f t="shared" si="0"/>
        <v>43.96077233691191</v>
      </c>
      <c r="F12" s="283">
        <v>770999.4</v>
      </c>
      <c r="G12" s="285">
        <v>221616.2</v>
      </c>
    </row>
    <row r="13" spans="1:7" ht="18" customHeight="1">
      <c r="A13" s="280">
        <v>2002</v>
      </c>
      <c r="B13" s="283">
        <f>+'[2](19)'!$H$12</f>
        <v>3594350.1</v>
      </c>
      <c r="C13" s="283">
        <v>1878558.2</v>
      </c>
      <c r="D13" s="278">
        <f t="shared" si="2"/>
        <v>89.25334238148179</v>
      </c>
      <c r="E13" s="278">
        <f t="shared" si="0"/>
        <v>52.26419652331585</v>
      </c>
      <c r="F13" s="283">
        <v>1553767.4</v>
      </c>
      <c r="G13" s="285">
        <v>324790.8</v>
      </c>
    </row>
    <row r="14" spans="1:7" ht="18" customHeight="1">
      <c r="A14" s="280">
        <v>2003</v>
      </c>
      <c r="B14" s="283">
        <f>+'[2](19)'!H13</f>
        <v>4981193.7</v>
      </c>
      <c r="C14" s="283">
        <f t="shared" si="1"/>
        <v>2101495.7</v>
      </c>
      <c r="D14" s="278">
        <f t="shared" si="2"/>
        <v>11.867479005973848</v>
      </c>
      <c r="E14" s="278">
        <f t="shared" si="0"/>
        <v>42.18859627964277</v>
      </c>
      <c r="F14" s="283">
        <v>1662127.6</v>
      </c>
      <c r="G14" s="285">
        <v>439368.1</v>
      </c>
    </row>
    <row r="15" spans="1:7" ht="18" customHeight="1">
      <c r="A15" s="280">
        <v>2004</v>
      </c>
      <c r="B15" s="283">
        <f>+'[2](19)'!H14</f>
        <v>6635691</v>
      </c>
      <c r="C15" s="283">
        <f>+F15+G15</f>
        <v>2687750.1</v>
      </c>
      <c r="D15" s="278">
        <f>+(C15/C14)*100-100</f>
        <v>27.897006879433533</v>
      </c>
      <c r="E15" s="278">
        <f>+C15/B15*100</f>
        <v>40.504449348229144</v>
      </c>
      <c r="F15" s="283">
        <v>2159597.5</v>
      </c>
      <c r="G15" s="285">
        <v>528152.6</v>
      </c>
    </row>
    <row r="16" spans="1:7" ht="18" customHeight="1">
      <c r="A16" s="280" t="s">
        <v>75</v>
      </c>
      <c r="B16" s="283">
        <f>+'[2](19)'!H15</f>
        <v>7677105</v>
      </c>
      <c r="C16" s="283">
        <f>+F16+G16</f>
        <v>3552939</v>
      </c>
      <c r="D16" s="278">
        <f>+(C16/C15)*100-100</f>
        <v>32.19007972504585</v>
      </c>
      <c r="E16" s="278">
        <f>+C16/B16*100</f>
        <v>46.279671829420074</v>
      </c>
      <c r="F16" s="283">
        <v>881953</v>
      </c>
      <c r="G16" s="285">
        <v>2670986</v>
      </c>
    </row>
    <row r="17" spans="1:7" ht="18" customHeight="1" thickBot="1">
      <c r="A17" s="281" t="s">
        <v>307</v>
      </c>
      <c r="B17" s="284">
        <v>10171119</v>
      </c>
      <c r="C17" s="284">
        <f>+F17+G17</f>
        <v>4799560</v>
      </c>
      <c r="D17" s="282">
        <f>+(C17/C16)*100-100</f>
        <v>35.08703639437661</v>
      </c>
      <c r="E17" s="282">
        <f>+C17/B17*100</f>
        <v>47.18812158229591</v>
      </c>
      <c r="F17" s="284">
        <v>0</v>
      </c>
      <c r="G17" s="286">
        <v>4799560</v>
      </c>
    </row>
    <row r="18" spans="1:7" ht="17.25" customHeight="1" thickTop="1">
      <c r="A18" s="616" t="s">
        <v>299</v>
      </c>
      <c r="B18" s="616"/>
      <c r="C18" s="616"/>
      <c r="D18" s="616"/>
      <c r="E18" s="616"/>
      <c r="F18" s="616"/>
      <c r="G18" s="616"/>
    </row>
    <row r="19" spans="1:7" ht="41.25" customHeight="1">
      <c r="A19" s="620" t="s">
        <v>303</v>
      </c>
      <c r="B19" s="620"/>
      <c r="C19" s="620"/>
      <c r="D19" s="620"/>
      <c r="E19" s="620"/>
      <c r="F19" s="620"/>
      <c r="G19" s="620"/>
    </row>
    <row r="20" spans="1:9" ht="22.5" customHeight="1">
      <c r="A20" s="617" t="s">
        <v>481</v>
      </c>
      <c r="B20" s="618"/>
      <c r="C20" s="618"/>
      <c r="D20" s="618"/>
      <c r="E20" s="618"/>
      <c r="F20" s="618"/>
      <c r="G20" s="618"/>
      <c r="H20" s="291"/>
      <c r="I20" s="291"/>
    </row>
  </sheetData>
  <mergeCells count="6">
    <mergeCell ref="A1:G1"/>
    <mergeCell ref="A18:G18"/>
    <mergeCell ref="A20:G20"/>
    <mergeCell ref="C4:E4"/>
    <mergeCell ref="A19:G19"/>
    <mergeCell ref="A4:A5"/>
  </mergeCells>
  <printOptions/>
  <pageMargins left="0.75" right="0.75" top="1" bottom="1" header="0.5" footer="0.5"/>
  <pageSetup horizontalDpi="300" verticalDpi="300" orientation="portrait" paperSize="9" scale="95" r:id="rId2"/>
  <headerFooter alignWithMargins="0">
    <oddFooter>&amp;C21</oddFooter>
  </headerFooter>
  <ignoredErrors>
    <ignoredError sqref="B10" numberStoredAsText="1"/>
  </ignoredErrors>
  <drawing r:id="rId1"/>
</worksheet>
</file>

<file path=xl/worksheets/sheet23.xml><?xml version="1.0" encoding="utf-8"?>
<worksheet xmlns="http://schemas.openxmlformats.org/spreadsheetml/2006/main" xmlns:r="http://schemas.openxmlformats.org/officeDocument/2006/relationships">
  <sheetPr>
    <tabColor indexed="12"/>
  </sheetPr>
  <dimension ref="A1:F15"/>
  <sheetViews>
    <sheetView showGridLines="0" workbookViewId="0" topLeftCell="A34">
      <selection activeCell="A15" sqref="A15:F15"/>
    </sheetView>
  </sheetViews>
  <sheetFormatPr defaultColWidth="9.00390625" defaultRowHeight="12.75"/>
  <cols>
    <col min="1" max="1" width="20.625" style="1" customWidth="1"/>
    <col min="2" max="2" width="12.75390625" style="1" customWidth="1"/>
    <col min="3" max="3" width="11.00390625" style="1" customWidth="1"/>
    <col min="4" max="4" width="11.75390625" style="1" customWidth="1"/>
    <col min="5" max="5" width="13.25390625" style="1" customWidth="1"/>
    <col min="6" max="6" width="11.625" style="1" customWidth="1"/>
    <col min="7" max="7" width="11.375" style="1" customWidth="1"/>
    <col min="8" max="12" width="9.125" style="1" customWidth="1"/>
    <col min="13" max="13" width="10.00390625" style="1" customWidth="1"/>
    <col min="14" max="15" width="10.375" style="1" customWidth="1"/>
    <col min="16" max="16" width="10.125" style="1" customWidth="1"/>
    <col min="17" max="16384" width="9.125" style="1" customWidth="1"/>
  </cols>
  <sheetData>
    <row r="1" spans="1:6" ht="16.5" customHeight="1">
      <c r="A1" s="456" t="s">
        <v>468</v>
      </c>
      <c r="B1" s="459"/>
      <c r="C1" s="459"/>
      <c r="D1" s="459"/>
      <c r="E1" s="459"/>
      <c r="F1" s="459"/>
    </row>
    <row r="2" spans="1:6" ht="11.25" customHeight="1">
      <c r="A2" s="77"/>
      <c r="B2" s="292"/>
      <c r="C2" s="292"/>
      <c r="D2" s="292"/>
      <c r="E2" s="292"/>
      <c r="F2" s="292"/>
    </row>
    <row r="3" ht="15.75" customHeight="1" thickBot="1">
      <c r="A3" s="16" t="s">
        <v>319</v>
      </c>
    </row>
    <row r="4" spans="1:6" ht="21.75" customHeight="1" thickTop="1">
      <c r="A4" s="299"/>
      <c r="B4" s="300">
        <v>2000</v>
      </c>
      <c r="C4" s="300">
        <v>2001</v>
      </c>
      <c r="D4" s="300">
        <v>2002</v>
      </c>
      <c r="E4" s="301">
        <v>2003</v>
      </c>
      <c r="F4" s="302">
        <v>2004</v>
      </c>
    </row>
    <row r="5" spans="1:6" ht="12.75" customHeight="1">
      <c r="A5" s="293" t="s">
        <v>262</v>
      </c>
      <c r="B5" s="294">
        <v>51114155</v>
      </c>
      <c r="C5" s="294">
        <v>58874712</v>
      </c>
      <c r="D5" s="294">
        <v>65983747</v>
      </c>
      <c r="E5" s="294">
        <v>68493705</v>
      </c>
      <c r="F5" s="295">
        <f>57819958+2680785</f>
        <v>60500743</v>
      </c>
    </row>
    <row r="6" spans="1:6" ht="16.5" customHeight="1">
      <c r="A6" s="293" t="s">
        <v>263</v>
      </c>
      <c r="B6" s="294">
        <v>1222366</v>
      </c>
      <c r="C6" s="294">
        <v>1373097</v>
      </c>
      <c r="D6" s="294">
        <v>1444189</v>
      </c>
      <c r="E6" s="294">
        <v>1499940</v>
      </c>
      <c r="F6" s="295">
        <v>1367977</v>
      </c>
    </row>
    <row r="7" spans="1:6" ht="16.5" customHeight="1">
      <c r="A7" s="293" t="s">
        <v>264</v>
      </c>
      <c r="B7" s="294">
        <v>6863798</v>
      </c>
      <c r="C7" s="294">
        <v>7918170</v>
      </c>
      <c r="D7" s="294">
        <v>8103826</v>
      </c>
      <c r="E7" s="294">
        <v>8133344</v>
      </c>
      <c r="F7" s="295">
        <v>7790522</v>
      </c>
    </row>
    <row r="8" spans="1:6" ht="16.5" customHeight="1">
      <c r="A8" s="293" t="s">
        <v>265</v>
      </c>
      <c r="B8" s="294">
        <v>409174</v>
      </c>
      <c r="C8" s="294">
        <v>521433</v>
      </c>
      <c r="D8" s="294">
        <v>567082</v>
      </c>
      <c r="E8" s="294">
        <v>599036</v>
      </c>
      <c r="F8" s="295">
        <v>518375</v>
      </c>
    </row>
    <row r="9" spans="1:6" ht="16.5" customHeight="1">
      <c r="A9" s="293" t="s">
        <v>266</v>
      </c>
      <c r="B9" s="294">
        <v>213727</v>
      </c>
      <c r="C9" s="294">
        <v>232176</v>
      </c>
      <c r="D9" s="294">
        <v>209622</v>
      </c>
      <c r="E9" s="294">
        <v>211813</v>
      </c>
      <c r="F9" s="295">
        <v>168835</v>
      </c>
    </row>
    <row r="10" spans="1:6" ht="16.5" customHeight="1">
      <c r="A10" s="293" t="s">
        <v>267</v>
      </c>
      <c r="B10" s="294">
        <v>34479848</v>
      </c>
      <c r="C10" s="294">
        <v>40784832</v>
      </c>
      <c r="D10" s="294">
        <v>45752762</v>
      </c>
      <c r="E10" s="294">
        <v>47258455</v>
      </c>
      <c r="F10" s="295">
        <v>51050571</v>
      </c>
    </row>
    <row r="11" spans="1:6" ht="16.5" customHeight="1">
      <c r="A11" s="293" t="s">
        <v>290</v>
      </c>
      <c r="B11" s="294">
        <v>150524728</v>
      </c>
      <c r="C11" s="294">
        <v>170834104</v>
      </c>
      <c r="D11" s="294">
        <v>192667574</v>
      </c>
      <c r="E11" s="294">
        <v>189403285</v>
      </c>
      <c r="F11" s="295">
        <v>200419349</v>
      </c>
    </row>
    <row r="12" spans="1:6" ht="16.5" customHeight="1">
      <c r="A12" s="293" t="s">
        <v>268</v>
      </c>
      <c r="B12" s="294">
        <v>4820519</v>
      </c>
      <c r="C12" s="294">
        <v>5463568</v>
      </c>
      <c r="D12" s="294">
        <v>6046453</v>
      </c>
      <c r="E12" s="294">
        <v>6200403</v>
      </c>
      <c r="F12" s="295">
        <v>5797877</v>
      </c>
    </row>
    <row r="13" spans="1:6" ht="16.5" customHeight="1" thickBot="1">
      <c r="A13" s="296" t="s">
        <v>291</v>
      </c>
      <c r="B13" s="297">
        <v>31261137</v>
      </c>
      <c r="C13" s="297">
        <v>42896256</v>
      </c>
      <c r="D13" s="297">
        <v>51498202</v>
      </c>
      <c r="E13" s="297">
        <v>48650310</v>
      </c>
      <c r="F13" s="298">
        <v>47170815</v>
      </c>
    </row>
    <row r="14" spans="1:6" ht="21.75" customHeight="1" thickTop="1">
      <c r="A14" s="623" t="s">
        <v>292</v>
      </c>
      <c r="B14" s="624"/>
      <c r="C14" s="624"/>
      <c r="D14" s="624"/>
      <c r="E14" s="624"/>
      <c r="F14" s="624"/>
    </row>
    <row r="15" spans="1:6" ht="24" customHeight="1">
      <c r="A15" s="625" t="s">
        <v>293</v>
      </c>
      <c r="B15" s="626"/>
      <c r="C15" s="626"/>
      <c r="D15" s="626"/>
      <c r="E15" s="626"/>
      <c r="F15" s="626"/>
    </row>
  </sheetData>
  <mergeCells count="3">
    <mergeCell ref="A1:F1"/>
    <mergeCell ref="A14:F14"/>
    <mergeCell ref="A15:F15"/>
  </mergeCells>
  <printOptions/>
  <pageMargins left="0.75" right="0.75" top="1.06" bottom="1" header="0.5" footer="0.5"/>
  <pageSetup horizontalDpi="300" verticalDpi="300" orientation="portrait" paperSize="9" r:id="rId2"/>
  <headerFooter alignWithMargins="0">
    <oddFooter>&amp;C22</oddFooter>
  </headerFooter>
  <drawing r:id="rId1"/>
</worksheet>
</file>

<file path=xl/worksheets/sheet24.xml><?xml version="1.0" encoding="utf-8"?>
<worksheet xmlns="http://schemas.openxmlformats.org/spreadsheetml/2006/main" xmlns:r="http://schemas.openxmlformats.org/officeDocument/2006/relationships">
  <sheetPr>
    <tabColor indexed="12"/>
  </sheetPr>
  <dimension ref="A1:I34"/>
  <sheetViews>
    <sheetView showGridLines="0" workbookViewId="0" topLeftCell="A31">
      <selection activeCell="K7" sqref="K7"/>
    </sheetView>
  </sheetViews>
  <sheetFormatPr defaultColWidth="9.00390625" defaultRowHeight="12.75"/>
  <cols>
    <col min="1" max="1" width="13.75390625" style="1" customWidth="1"/>
    <col min="2" max="2" width="11.25390625" style="1" customWidth="1"/>
    <col min="3" max="3" width="8.125" style="1" customWidth="1"/>
    <col min="4" max="4" width="12.375" style="1" customWidth="1"/>
    <col min="5" max="5" width="9.00390625" style="1" customWidth="1"/>
    <col min="6" max="7" width="10.00390625" style="1" customWidth="1"/>
    <col min="8" max="8" width="8.75390625" style="1" customWidth="1"/>
    <col min="9" max="9" width="9.25390625" style="1" customWidth="1"/>
    <col min="10" max="16384" width="9.125" style="1" customWidth="1"/>
  </cols>
  <sheetData>
    <row r="1" spans="1:9" s="4" customFormat="1" ht="15">
      <c r="A1" s="595" t="s">
        <v>320</v>
      </c>
      <c r="B1" s="500"/>
      <c r="C1" s="500"/>
      <c r="D1" s="500"/>
      <c r="E1" s="500"/>
      <c r="F1" s="500"/>
      <c r="G1" s="500"/>
      <c r="H1" s="500"/>
      <c r="I1" s="500"/>
    </row>
    <row r="2" spans="1:9" ht="18" customHeight="1">
      <c r="A2" s="636" t="s">
        <v>321</v>
      </c>
      <c r="B2" s="502"/>
      <c r="C2" s="502"/>
      <c r="D2" s="502"/>
      <c r="E2" s="502"/>
      <c r="F2" s="502"/>
      <c r="G2" s="502"/>
      <c r="H2" s="502"/>
      <c r="I2" s="502"/>
    </row>
    <row r="3" spans="1:9" ht="24.75" customHeight="1" thickBot="1">
      <c r="A3" s="16" t="s">
        <v>342</v>
      </c>
      <c r="I3" s="307" t="s">
        <v>322</v>
      </c>
    </row>
    <row r="4" spans="1:9" ht="42" customHeight="1" thickTop="1">
      <c r="A4" s="633" t="s">
        <v>323</v>
      </c>
      <c r="B4" s="627" t="s">
        <v>324</v>
      </c>
      <c r="C4" s="627"/>
      <c r="D4" s="637" t="s">
        <v>325</v>
      </c>
      <c r="E4" s="637"/>
      <c r="F4" s="627" t="s">
        <v>326</v>
      </c>
      <c r="G4" s="627"/>
      <c r="H4" s="627" t="s">
        <v>31</v>
      </c>
      <c r="I4" s="628"/>
    </row>
    <row r="5" spans="1:9" ht="39.75" customHeight="1">
      <c r="A5" s="634"/>
      <c r="B5" s="308" t="s">
        <v>327</v>
      </c>
      <c r="C5" s="309" t="s">
        <v>328</v>
      </c>
      <c r="D5" s="309" t="s">
        <v>327</v>
      </c>
      <c r="E5" s="309" t="s">
        <v>328</v>
      </c>
      <c r="F5" s="309" t="s">
        <v>327</v>
      </c>
      <c r="G5" s="309" t="s">
        <v>328</v>
      </c>
      <c r="H5" s="309" t="s">
        <v>327</v>
      </c>
      <c r="I5" s="310" t="s">
        <v>328</v>
      </c>
    </row>
    <row r="6" spans="1:9" ht="18" customHeight="1">
      <c r="A6" s="311" t="s">
        <v>329</v>
      </c>
      <c r="B6" s="312">
        <v>50190</v>
      </c>
      <c r="C6" s="312">
        <v>71556</v>
      </c>
      <c r="D6" s="312">
        <v>29012</v>
      </c>
      <c r="E6" s="312" t="s">
        <v>330</v>
      </c>
      <c r="F6" s="312">
        <v>799</v>
      </c>
      <c r="G6" s="312">
        <v>844</v>
      </c>
      <c r="H6" s="312">
        <f>+F6+D6+B6</f>
        <v>80001</v>
      </c>
      <c r="I6" s="313">
        <v>158084</v>
      </c>
    </row>
    <row r="7" spans="1:9" ht="18" customHeight="1">
      <c r="A7" s="311" t="s">
        <v>331</v>
      </c>
      <c r="B7" s="312">
        <v>1605</v>
      </c>
      <c r="C7" s="312">
        <v>3500</v>
      </c>
      <c r="D7" s="312">
        <v>12490</v>
      </c>
      <c r="E7" s="312" t="s">
        <v>332</v>
      </c>
      <c r="F7" s="312">
        <v>0</v>
      </c>
      <c r="G7" s="312">
        <v>0</v>
      </c>
      <c r="H7" s="312">
        <f>+F7+D7+B7</f>
        <v>14095</v>
      </c>
      <c r="I7" s="313">
        <v>19045</v>
      </c>
    </row>
    <row r="8" spans="1:9" ht="16.5" customHeight="1" thickBot="1">
      <c r="A8" s="314" t="s">
        <v>31</v>
      </c>
      <c r="B8" s="315">
        <f>+B7+B6</f>
        <v>51795</v>
      </c>
      <c r="C8" s="315">
        <f>+C7+C6</f>
        <v>75056</v>
      </c>
      <c r="D8" s="315">
        <f>+D7+D6</f>
        <v>41502</v>
      </c>
      <c r="E8" s="315">
        <v>101229</v>
      </c>
      <c r="F8" s="315">
        <f>+F7+F6</f>
        <v>799</v>
      </c>
      <c r="G8" s="315">
        <f>+G7+G6</f>
        <v>844</v>
      </c>
      <c r="H8" s="315">
        <f>+H7+H6</f>
        <v>94096</v>
      </c>
      <c r="I8" s="316">
        <f>+I7+I6</f>
        <v>177129</v>
      </c>
    </row>
    <row r="9" ht="7.5" customHeight="1" thickTop="1"/>
    <row r="10" spans="1:9" ht="26.25" customHeight="1">
      <c r="A10" s="644" t="s">
        <v>344</v>
      </c>
      <c r="B10" s="618"/>
      <c r="C10" s="618"/>
      <c r="D10" s="618"/>
      <c r="E10" s="618"/>
      <c r="F10" s="618"/>
      <c r="G10" s="618"/>
      <c r="H10" s="618"/>
      <c r="I10" s="618"/>
    </row>
    <row r="11" spans="1:9" ht="30.75" customHeight="1">
      <c r="A11" s="644" t="s">
        <v>345</v>
      </c>
      <c r="B11" s="618"/>
      <c r="C11" s="618"/>
      <c r="D11" s="618"/>
      <c r="E11" s="618"/>
      <c r="F11" s="618"/>
      <c r="G11" s="618"/>
      <c r="H11" s="618"/>
      <c r="I11" s="618"/>
    </row>
    <row r="12" spans="1:9" ht="27" customHeight="1">
      <c r="A12" s="644" t="s">
        <v>346</v>
      </c>
      <c r="B12" s="645"/>
      <c r="C12" s="645"/>
      <c r="D12" s="645"/>
      <c r="E12" s="645"/>
      <c r="F12" s="645"/>
      <c r="G12" s="645"/>
      <c r="H12" s="645"/>
      <c r="I12" s="645"/>
    </row>
    <row r="13" ht="12.75">
      <c r="A13" s="304" t="s">
        <v>56</v>
      </c>
    </row>
    <row r="14" spans="1:9" ht="19.5" customHeight="1">
      <c r="A14" s="595" t="s">
        <v>333</v>
      </c>
      <c r="B14" s="500"/>
      <c r="C14" s="500"/>
      <c r="D14" s="500"/>
      <c r="E14" s="500"/>
      <c r="F14" s="500"/>
      <c r="G14" s="500"/>
      <c r="H14" s="500"/>
      <c r="I14" s="500"/>
    </row>
    <row r="15" spans="1:9" ht="19.5" customHeight="1">
      <c r="A15" s="636" t="s">
        <v>334</v>
      </c>
      <c r="B15" s="502"/>
      <c r="C15" s="502"/>
      <c r="D15" s="502"/>
      <c r="E15" s="502"/>
      <c r="F15" s="502"/>
      <c r="G15" s="502"/>
      <c r="H15" s="502"/>
      <c r="I15" s="502"/>
    </row>
    <row r="16" spans="1:9" ht="19.5" customHeight="1">
      <c r="A16" s="636" t="s">
        <v>335</v>
      </c>
      <c r="B16" s="502"/>
      <c r="C16" s="502"/>
      <c r="D16" s="502"/>
      <c r="E16" s="502"/>
      <c r="F16" s="502"/>
      <c r="G16" s="502"/>
      <c r="H16" s="502"/>
      <c r="I16" s="502"/>
    </row>
    <row r="17" spans="1:9" ht="21" customHeight="1" thickBot="1">
      <c r="A17" s="16" t="s">
        <v>343</v>
      </c>
      <c r="G17" s="11"/>
      <c r="I17" s="11" t="s">
        <v>322</v>
      </c>
    </row>
    <row r="18" spans="1:9" ht="12.75" customHeight="1" thickTop="1">
      <c r="A18" s="633" t="s">
        <v>323</v>
      </c>
      <c r="B18" s="627" t="s">
        <v>324</v>
      </c>
      <c r="C18" s="627"/>
      <c r="D18" s="627" t="s">
        <v>336</v>
      </c>
      <c r="E18" s="627"/>
      <c r="F18" s="638" t="s">
        <v>31</v>
      </c>
      <c r="G18" s="639"/>
      <c r="H18" s="640"/>
      <c r="I18" s="641"/>
    </row>
    <row r="19" spans="1:9" ht="12.75">
      <c r="A19" s="634"/>
      <c r="B19" s="309" t="s">
        <v>337</v>
      </c>
      <c r="C19" s="309" t="s">
        <v>328</v>
      </c>
      <c r="D19" s="309" t="s">
        <v>337</v>
      </c>
      <c r="E19" s="309" t="s">
        <v>328</v>
      </c>
      <c r="F19" s="642" t="s">
        <v>337</v>
      </c>
      <c r="G19" s="643"/>
      <c r="H19" s="642" t="s">
        <v>328</v>
      </c>
      <c r="I19" s="651"/>
    </row>
    <row r="20" spans="1:9" ht="30.75" customHeight="1">
      <c r="A20" s="311" t="s">
        <v>331</v>
      </c>
      <c r="B20" s="317">
        <v>5877</v>
      </c>
      <c r="C20" s="317">
        <v>17220</v>
      </c>
      <c r="D20" s="317">
        <v>0</v>
      </c>
      <c r="E20" s="317">
        <v>10000</v>
      </c>
      <c r="F20" s="646">
        <v>7730</v>
      </c>
      <c r="G20" s="647">
        <f>+C20+E20</f>
        <v>27220</v>
      </c>
      <c r="H20" s="646">
        <v>27220</v>
      </c>
      <c r="I20" s="652"/>
    </row>
    <row r="21" spans="1:9" ht="26.25" customHeight="1" thickBot="1">
      <c r="A21" s="314" t="s">
        <v>31</v>
      </c>
      <c r="B21" s="318">
        <f aca="true" t="shared" si="0" ref="B21:G21">SUM(B20)</f>
        <v>5877</v>
      </c>
      <c r="C21" s="318">
        <f t="shared" si="0"/>
        <v>17220</v>
      </c>
      <c r="D21" s="318">
        <f t="shared" si="0"/>
        <v>0</v>
      </c>
      <c r="E21" s="318">
        <f t="shared" si="0"/>
        <v>10000</v>
      </c>
      <c r="F21" s="648">
        <v>7730</v>
      </c>
      <c r="G21" s="649">
        <f t="shared" si="0"/>
        <v>27220</v>
      </c>
      <c r="H21" s="648">
        <v>27220</v>
      </c>
      <c r="I21" s="650"/>
    </row>
    <row r="22" spans="1:9" ht="26.25" customHeight="1" thickTop="1">
      <c r="A22" s="629" t="s">
        <v>338</v>
      </c>
      <c r="B22" s="629"/>
      <c r="C22" s="629"/>
      <c r="D22" s="629"/>
      <c r="E22" s="629"/>
      <c r="F22" s="629"/>
      <c r="G22" s="629"/>
      <c r="H22" s="630"/>
      <c r="I22" s="630"/>
    </row>
    <row r="23" spans="1:9" s="291" customFormat="1" ht="71.25" customHeight="1">
      <c r="A23" s="631" t="s">
        <v>348</v>
      </c>
      <c r="B23" s="617"/>
      <c r="C23" s="617"/>
      <c r="D23" s="617"/>
      <c r="E23" s="617"/>
      <c r="F23" s="617"/>
      <c r="G23" s="617"/>
      <c r="H23" s="618"/>
      <c r="I23" s="618"/>
    </row>
    <row r="24" spans="1:9" ht="14.25" customHeight="1">
      <c r="A24" s="631"/>
      <c r="B24" s="632"/>
      <c r="C24" s="632"/>
      <c r="D24" s="632"/>
      <c r="E24" s="632"/>
      <c r="F24" s="632"/>
      <c r="G24" s="632"/>
      <c r="H24" s="632"/>
      <c r="I24" s="632"/>
    </row>
    <row r="25" spans="1:9" ht="20.25" customHeight="1">
      <c r="A25" s="595" t="s">
        <v>339</v>
      </c>
      <c r="B25" s="500"/>
      <c r="C25" s="500"/>
      <c r="D25" s="500"/>
      <c r="E25" s="500"/>
      <c r="F25" s="500"/>
      <c r="G25" s="500"/>
      <c r="H25" s="500"/>
      <c r="I25" s="500"/>
    </row>
    <row r="26" spans="1:9" ht="18.75" customHeight="1">
      <c r="A26" s="636" t="s">
        <v>340</v>
      </c>
      <c r="B26" s="502"/>
      <c r="C26" s="502"/>
      <c r="D26" s="502"/>
      <c r="E26" s="502"/>
      <c r="F26" s="502"/>
      <c r="G26" s="502"/>
      <c r="H26" s="502"/>
      <c r="I26" s="502"/>
    </row>
    <row r="27" spans="1:9" ht="18.75" customHeight="1">
      <c r="A27" s="306"/>
      <c r="B27" s="82"/>
      <c r="C27" s="82"/>
      <c r="D27" s="82"/>
      <c r="E27" s="82"/>
      <c r="F27" s="82"/>
      <c r="G27" s="82"/>
      <c r="H27" s="82"/>
      <c r="I27" s="82"/>
    </row>
    <row r="28" spans="1:9" s="14" customFormat="1" ht="16.5" thickBot="1">
      <c r="A28" s="16" t="s">
        <v>347</v>
      </c>
      <c r="H28" s="635" t="s">
        <v>341</v>
      </c>
      <c r="I28" s="635"/>
    </row>
    <row r="29" spans="1:9" ht="13.5" thickTop="1">
      <c r="A29" s="633" t="s">
        <v>323</v>
      </c>
      <c r="B29" s="627" t="s">
        <v>324</v>
      </c>
      <c r="C29" s="627"/>
      <c r="D29" s="637" t="s">
        <v>325</v>
      </c>
      <c r="E29" s="637"/>
      <c r="F29" s="627" t="s">
        <v>326</v>
      </c>
      <c r="G29" s="627"/>
      <c r="H29" s="627" t="s">
        <v>31</v>
      </c>
      <c r="I29" s="628"/>
    </row>
    <row r="30" spans="1:9" ht="12.75">
      <c r="A30" s="634"/>
      <c r="B30" s="308" t="s">
        <v>327</v>
      </c>
      <c r="C30" s="309" t="s">
        <v>328</v>
      </c>
      <c r="D30" s="309" t="s">
        <v>327</v>
      </c>
      <c r="E30" s="309" t="s">
        <v>328</v>
      </c>
      <c r="F30" s="309" t="s">
        <v>327</v>
      </c>
      <c r="G30" s="309" t="s">
        <v>328</v>
      </c>
      <c r="H30" s="309" t="s">
        <v>327</v>
      </c>
      <c r="I30" s="310" t="s">
        <v>328</v>
      </c>
    </row>
    <row r="31" spans="1:9" ht="13.5" thickBot="1">
      <c r="A31" s="314" t="s">
        <v>331</v>
      </c>
      <c r="B31" s="319" t="s">
        <v>56</v>
      </c>
      <c r="C31" s="319">
        <v>22830</v>
      </c>
      <c r="D31" s="319" t="s">
        <v>56</v>
      </c>
      <c r="E31" s="319">
        <v>5400</v>
      </c>
      <c r="F31" s="319" t="s">
        <v>56</v>
      </c>
      <c r="G31" s="319">
        <v>770</v>
      </c>
      <c r="H31" s="319" t="s">
        <v>56</v>
      </c>
      <c r="I31" s="320">
        <f>+C31+E31+G31</f>
        <v>29000</v>
      </c>
    </row>
    <row r="32" ht="7.5" customHeight="1" thickTop="1"/>
    <row r="33" spans="1:9" ht="37.5" customHeight="1">
      <c r="A33" s="617" t="s">
        <v>349</v>
      </c>
      <c r="B33" s="617"/>
      <c r="C33" s="617"/>
      <c r="D33" s="617"/>
      <c r="E33" s="617"/>
      <c r="F33" s="617"/>
      <c r="G33" s="617"/>
      <c r="H33" s="618"/>
      <c r="I33" s="618"/>
    </row>
    <row r="34" spans="1:9" ht="12.75">
      <c r="A34" s="303"/>
      <c r="B34" s="6"/>
      <c r="C34" s="6"/>
      <c r="D34" s="6"/>
      <c r="E34" s="6"/>
      <c r="F34" s="6" t="s">
        <v>56</v>
      </c>
      <c r="G34" s="6"/>
      <c r="H34" s="6"/>
      <c r="I34" s="6" t="s">
        <v>56</v>
      </c>
    </row>
  </sheetData>
  <mergeCells count="35">
    <mergeCell ref="F20:G20"/>
    <mergeCell ref="F21:G21"/>
    <mergeCell ref="H21:I21"/>
    <mergeCell ref="H19:I19"/>
    <mergeCell ref="H20:I20"/>
    <mergeCell ref="A10:I10"/>
    <mergeCell ref="A11:I11"/>
    <mergeCell ref="A12:I12"/>
    <mergeCell ref="A4:A5"/>
    <mergeCell ref="A1:I1"/>
    <mergeCell ref="A2:I2"/>
    <mergeCell ref="B4:C4"/>
    <mergeCell ref="D4:E4"/>
    <mergeCell ref="F4:G4"/>
    <mergeCell ref="H4:I4"/>
    <mergeCell ref="D29:E29"/>
    <mergeCell ref="F29:G29"/>
    <mergeCell ref="A14:I14"/>
    <mergeCell ref="A15:I15"/>
    <mergeCell ref="A16:I16"/>
    <mergeCell ref="B18:C18"/>
    <mergeCell ref="D18:E18"/>
    <mergeCell ref="A18:A19"/>
    <mergeCell ref="F18:I18"/>
    <mergeCell ref="F19:G19"/>
    <mergeCell ref="H29:I29"/>
    <mergeCell ref="A33:I33"/>
    <mergeCell ref="A22:I22"/>
    <mergeCell ref="A23:I23"/>
    <mergeCell ref="A24:I24"/>
    <mergeCell ref="A29:A30"/>
    <mergeCell ref="H28:I28"/>
    <mergeCell ref="A25:I25"/>
    <mergeCell ref="A26:I26"/>
    <mergeCell ref="B29:C29"/>
  </mergeCells>
  <printOptions/>
  <pageMargins left="0.75" right="0.75" top="1" bottom="1" header="0.5" footer="0.5"/>
  <pageSetup horizontalDpi="300" verticalDpi="300" orientation="portrait" paperSize="9" scale="95" r:id="rId1"/>
  <headerFooter alignWithMargins="0">
    <oddFooter>&amp;C23</oddFooter>
  </headerFooter>
</worksheet>
</file>

<file path=xl/worksheets/sheet3.xml><?xml version="1.0" encoding="utf-8"?>
<worksheet xmlns="http://schemas.openxmlformats.org/spreadsheetml/2006/main" xmlns:r="http://schemas.openxmlformats.org/officeDocument/2006/relationships">
  <sheetPr>
    <tabColor indexed="12"/>
  </sheetPr>
  <dimension ref="A1:Q48"/>
  <sheetViews>
    <sheetView showGridLines="0" workbookViewId="0" topLeftCell="A1">
      <selection activeCell="G6" sqref="G6"/>
    </sheetView>
  </sheetViews>
  <sheetFormatPr defaultColWidth="9.00390625" defaultRowHeight="12.75"/>
  <cols>
    <col min="1" max="1" width="11.875" style="328" customWidth="1"/>
    <col min="2" max="2" width="17.125" style="328" customWidth="1"/>
    <col min="3" max="3" width="3.875" style="328" customWidth="1"/>
    <col min="4" max="4" width="14.375" style="328" customWidth="1"/>
    <col min="5" max="5" width="17.00390625" style="328" customWidth="1"/>
    <col min="6" max="6" width="3.25390625" style="328" customWidth="1"/>
    <col min="7" max="7" width="10.25390625" style="328" customWidth="1"/>
    <col min="8" max="8" width="13.75390625" style="328" customWidth="1"/>
    <col min="9" max="9" width="3.00390625" style="328" customWidth="1"/>
    <col min="10" max="10" width="2.00390625" style="328" customWidth="1"/>
    <col min="11" max="11" width="10.625" style="328" customWidth="1"/>
    <col min="12" max="12" width="22.375" style="328" customWidth="1"/>
    <col min="13" max="13" width="1.00390625" style="328" customWidth="1"/>
    <col min="14" max="14" width="15.375" style="328" customWidth="1"/>
    <col min="15" max="15" width="15.75390625" style="328" customWidth="1"/>
    <col min="16" max="16" width="9.25390625" style="328" customWidth="1"/>
    <col min="17" max="17" width="15.875" style="328" customWidth="1"/>
    <col min="18" max="16384" width="9.125" style="328" customWidth="1"/>
  </cols>
  <sheetData>
    <row r="1" spans="1:17" ht="18.75">
      <c r="A1" s="436" t="s">
        <v>360</v>
      </c>
      <c r="B1" s="436"/>
      <c r="C1" s="436"/>
      <c r="D1" s="436"/>
      <c r="E1" s="436"/>
      <c r="F1" s="436"/>
      <c r="G1" s="436"/>
      <c r="H1" s="436"/>
      <c r="I1" s="436"/>
      <c r="J1" s="436"/>
      <c r="K1" s="436"/>
      <c r="L1" s="436"/>
      <c r="M1" s="436"/>
      <c r="N1" s="436"/>
      <c r="O1" s="436"/>
      <c r="P1" s="436"/>
      <c r="Q1" s="329"/>
    </row>
    <row r="2" spans="1:17" ht="13.5" thickBot="1">
      <c r="A2" s="330"/>
      <c r="B2" s="330"/>
      <c r="C2" s="330"/>
      <c r="D2" s="330"/>
      <c r="E2" s="330"/>
      <c r="F2" s="330"/>
      <c r="G2" s="330"/>
      <c r="H2" s="330"/>
      <c r="I2" s="330"/>
      <c r="J2" s="330"/>
      <c r="K2" s="330"/>
      <c r="L2" s="330"/>
      <c r="M2" s="330"/>
      <c r="N2" s="330"/>
      <c r="O2" s="330"/>
      <c r="P2" s="330"/>
      <c r="Q2" s="330"/>
    </row>
    <row r="3" spans="1:17" ht="14.25" thickBot="1" thickTop="1">
      <c r="A3" s="330"/>
      <c r="B3" s="330"/>
      <c r="C3" s="330"/>
      <c r="D3" s="330"/>
      <c r="E3" s="330"/>
      <c r="F3" s="330"/>
      <c r="G3" s="330"/>
      <c r="H3" s="331" t="s">
        <v>361</v>
      </c>
      <c r="I3" s="332"/>
      <c r="J3" s="330"/>
      <c r="K3" s="330"/>
      <c r="L3" s="330"/>
      <c r="M3" s="330"/>
      <c r="N3" s="330"/>
      <c r="O3" s="330"/>
      <c r="P3" s="330"/>
      <c r="Q3" s="330"/>
    </row>
    <row r="4" spans="1:17" ht="14.25" thickBot="1" thickTop="1">
      <c r="A4" s="330"/>
      <c r="B4" s="330"/>
      <c r="C4" s="330"/>
      <c r="D4" s="330"/>
      <c r="E4" s="330"/>
      <c r="F4" s="330"/>
      <c r="G4" s="330"/>
      <c r="H4" s="330"/>
      <c r="I4" s="330"/>
      <c r="J4" s="330"/>
      <c r="K4" s="330"/>
      <c r="L4" s="330"/>
      <c r="M4" s="330"/>
      <c r="N4" s="330"/>
      <c r="O4" s="330"/>
      <c r="P4" s="330"/>
      <c r="Q4" s="330"/>
    </row>
    <row r="5" spans="1:17" ht="14.25" thickBot="1" thickTop="1">
      <c r="A5" s="330"/>
      <c r="B5" s="330"/>
      <c r="C5" s="330"/>
      <c r="D5" s="330"/>
      <c r="E5" s="330"/>
      <c r="F5" s="330"/>
      <c r="G5" s="330"/>
      <c r="H5" s="331" t="s">
        <v>362</v>
      </c>
      <c r="I5" s="332"/>
      <c r="J5" s="330"/>
      <c r="K5" s="330"/>
      <c r="L5" s="330"/>
      <c r="M5" s="330"/>
      <c r="N5" s="330"/>
      <c r="O5" s="330"/>
      <c r="P5" s="330"/>
      <c r="Q5" s="330"/>
    </row>
    <row r="6" spans="1:17" ht="14.25" thickBot="1" thickTop="1">
      <c r="A6" s="330"/>
      <c r="B6" s="330"/>
      <c r="C6" s="330"/>
      <c r="D6" s="330"/>
      <c r="E6" s="330"/>
      <c r="F6" s="330"/>
      <c r="G6" s="330"/>
      <c r="H6" s="330"/>
      <c r="I6" s="330"/>
      <c r="J6" s="330"/>
      <c r="K6" s="330"/>
      <c r="L6" s="330"/>
      <c r="M6" s="330"/>
      <c r="N6" s="330"/>
      <c r="O6" s="330"/>
      <c r="P6" s="330"/>
      <c r="Q6" s="330"/>
    </row>
    <row r="7" spans="1:17" ht="14.25" thickBot="1" thickTop="1">
      <c r="A7" s="330"/>
      <c r="B7" s="330"/>
      <c r="C7" s="330"/>
      <c r="D7" s="330"/>
      <c r="E7" s="330"/>
      <c r="F7" s="330"/>
      <c r="G7" s="330"/>
      <c r="H7" s="331" t="s">
        <v>363</v>
      </c>
      <c r="I7" s="332"/>
      <c r="J7" s="330"/>
      <c r="K7" s="330"/>
      <c r="L7" s="333" t="s">
        <v>364</v>
      </c>
      <c r="M7" s="330"/>
      <c r="N7" s="330"/>
      <c r="O7" s="330"/>
      <c r="P7" s="330"/>
      <c r="Q7" s="330"/>
    </row>
    <row r="8" spans="1:17" ht="13.5" thickTop="1">
      <c r="A8" s="330"/>
      <c r="B8" s="330"/>
      <c r="C8" s="330"/>
      <c r="D8" s="334" t="s">
        <v>365</v>
      </c>
      <c r="E8" s="332"/>
      <c r="F8" s="332"/>
      <c r="G8" s="330"/>
      <c r="H8" s="330"/>
      <c r="I8" s="330"/>
      <c r="J8" s="330"/>
      <c r="K8" s="330"/>
      <c r="L8" s="335" t="s">
        <v>366</v>
      </c>
      <c r="M8" s="330"/>
      <c r="N8" s="330"/>
      <c r="O8" s="330"/>
      <c r="P8" s="330"/>
      <c r="Q8" s="330"/>
    </row>
    <row r="9" spans="1:17" ht="12.75">
      <c r="A9" s="330"/>
      <c r="B9" s="330"/>
      <c r="C9" s="330"/>
      <c r="D9" s="335" t="s">
        <v>367</v>
      </c>
      <c r="E9" s="332"/>
      <c r="F9" s="332"/>
      <c r="G9" s="330"/>
      <c r="H9" s="330"/>
      <c r="I9" s="330"/>
      <c r="J9" s="330"/>
      <c r="K9" s="330"/>
      <c r="L9" s="335" t="s">
        <v>368</v>
      </c>
      <c r="M9" s="330"/>
      <c r="N9" s="330"/>
      <c r="O9" s="330"/>
      <c r="P9" s="330"/>
      <c r="Q9" s="330"/>
    </row>
    <row r="10" spans="1:17" ht="13.5" thickBot="1">
      <c r="A10" s="330"/>
      <c r="B10" s="330"/>
      <c r="C10" s="330"/>
      <c r="D10" s="336" t="s">
        <v>369</v>
      </c>
      <c r="E10" s="332"/>
      <c r="F10" s="332"/>
      <c r="G10" s="330"/>
      <c r="H10" s="330"/>
      <c r="I10" s="330"/>
      <c r="J10" s="330"/>
      <c r="K10" s="330"/>
      <c r="L10" s="336" t="s">
        <v>370</v>
      </c>
      <c r="M10" s="330"/>
      <c r="N10" s="330"/>
      <c r="O10" s="330"/>
      <c r="P10" s="330"/>
      <c r="Q10" s="330"/>
    </row>
    <row r="11" spans="1:17" ht="13.5" thickTop="1">
      <c r="A11" s="330"/>
      <c r="B11" s="330"/>
      <c r="C11" s="330"/>
      <c r="D11" s="332"/>
      <c r="E11" s="332"/>
      <c r="F11" s="332"/>
      <c r="G11" s="330"/>
      <c r="H11" s="330"/>
      <c r="I11" s="330"/>
      <c r="J11" s="330"/>
      <c r="K11" s="330"/>
      <c r="L11" s="332"/>
      <c r="M11" s="330"/>
      <c r="N11" s="330"/>
      <c r="O11" s="330"/>
      <c r="P11" s="330"/>
      <c r="Q11" s="330"/>
    </row>
    <row r="12" spans="1:17" ht="13.5" thickBot="1">
      <c r="A12" s="330"/>
      <c r="B12" s="330"/>
      <c r="C12" s="330"/>
      <c r="D12" s="330"/>
      <c r="E12" s="330"/>
      <c r="F12" s="330"/>
      <c r="G12" s="330"/>
      <c r="H12" s="330"/>
      <c r="I12" s="330"/>
      <c r="J12" s="330"/>
      <c r="K12" s="330"/>
      <c r="L12" s="330"/>
      <c r="M12" s="330"/>
      <c r="N12" s="330"/>
      <c r="O12" s="330"/>
      <c r="P12" s="330"/>
      <c r="Q12" s="330"/>
    </row>
    <row r="13" spans="1:17" ht="12.75">
      <c r="A13" s="330"/>
      <c r="B13" s="330"/>
      <c r="C13" s="330"/>
      <c r="D13" s="337" t="s">
        <v>371</v>
      </c>
      <c r="E13" s="332"/>
      <c r="F13" s="332"/>
      <c r="G13" s="330"/>
      <c r="H13" s="330"/>
      <c r="I13" s="330"/>
      <c r="J13" s="330"/>
      <c r="K13" s="330"/>
      <c r="L13" s="330"/>
      <c r="M13" s="330"/>
      <c r="N13" s="337" t="s">
        <v>372</v>
      </c>
      <c r="O13" s="330"/>
      <c r="P13" s="330"/>
      <c r="Q13" s="330"/>
    </row>
    <row r="14" spans="1:17" ht="13.5" thickBot="1">
      <c r="A14" s="330"/>
      <c r="B14" s="330"/>
      <c r="C14" s="330"/>
      <c r="D14" s="338" t="s">
        <v>373</v>
      </c>
      <c r="E14" s="332"/>
      <c r="F14" s="332"/>
      <c r="G14" s="330"/>
      <c r="H14" s="330"/>
      <c r="I14" s="330"/>
      <c r="J14" s="330"/>
      <c r="K14" s="330"/>
      <c r="L14" s="330"/>
      <c r="M14" s="330"/>
      <c r="N14" s="338" t="s">
        <v>373</v>
      </c>
      <c r="O14" s="330"/>
      <c r="P14" s="330"/>
      <c r="Q14" s="330"/>
    </row>
    <row r="15" spans="1:17" ht="13.5" thickBot="1">
      <c r="A15" s="330"/>
      <c r="B15" s="330"/>
      <c r="C15" s="330"/>
      <c r="D15" s="330"/>
      <c r="E15" s="330"/>
      <c r="F15" s="330"/>
      <c r="G15" s="330"/>
      <c r="H15" s="330"/>
      <c r="I15" s="330"/>
      <c r="J15" s="330"/>
      <c r="K15" s="330"/>
      <c r="L15" s="330"/>
      <c r="M15" s="330"/>
      <c r="N15" s="330"/>
      <c r="O15" s="330"/>
      <c r="P15" s="330"/>
      <c r="Q15" s="330"/>
    </row>
    <row r="16" spans="1:17" ht="13.5" thickBot="1">
      <c r="A16" s="330"/>
      <c r="B16" s="339" t="s">
        <v>374</v>
      </c>
      <c r="C16" s="330"/>
      <c r="D16" s="339" t="s">
        <v>375</v>
      </c>
      <c r="E16" s="332"/>
      <c r="F16" s="332"/>
      <c r="G16" s="330"/>
      <c r="H16" s="330"/>
      <c r="I16" s="330"/>
      <c r="J16" s="330"/>
      <c r="K16" s="330"/>
      <c r="L16" s="330"/>
      <c r="M16" s="330"/>
      <c r="N16" s="339" t="s">
        <v>375</v>
      </c>
      <c r="O16" s="330"/>
      <c r="P16" s="330"/>
      <c r="Q16" s="330"/>
    </row>
    <row r="17" spans="1:17" ht="13.5" thickBot="1">
      <c r="A17" s="330"/>
      <c r="B17" s="332"/>
      <c r="C17" s="330"/>
      <c r="D17" s="332"/>
      <c r="E17" s="332"/>
      <c r="F17" s="332"/>
      <c r="G17" s="330"/>
      <c r="H17" s="330"/>
      <c r="I17" s="330"/>
      <c r="J17" s="330"/>
      <c r="K17" s="330"/>
      <c r="L17" s="330"/>
      <c r="M17" s="330"/>
      <c r="N17" s="332"/>
      <c r="O17" s="330"/>
      <c r="P17" s="330"/>
      <c r="Q17" s="330"/>
    </row>
    <row r="18" spans="1:17" ht="12.75">
      <c r="A18" s="330"/>
      <c r="B18" s="332"/>
      <c r="C18" s="330"/>
      <c r="D18" s="332"/>
      <c r="E18" s="332"/>
      <c r="F18" s="332"/>
      <c r="G18" s="330"/>
      <c r="H18" s="330"/>
      <c r="I18" s="330"/>
      <c r="J18" s="330"/>
      <c r="K18" s="330"/>
      <c r="L18" s="330"/>
      <c r="M18" s="330"/>
      <c r="N18" s="332"/>
      <c r="O18" s="337" t="s">
        <v>376</v>
      </c>
      <c r="P18" s="330"/>
      <c r="Q18" s="330"/>
    </row>
    <row r="19" spans="1:17" ht="13.5" thickBot="1">
      <c r="A19" s="330"/>
      <c r="B19" s="330"/>
      <c r="C19" s="330"/>
      <c r="D19" s="340"/>
      <c r="E19" s="340"/>
      <c r="F19" s="340"/>
      <c r="G19" s="330"/>
      <c r="H19" s="330"/>
      <c r="I19" s="330"/>
      <c r="J19" s="330"/>
      <c r="K19" s="340"/>
      <c r="L19" s="330"/>
      <c r="M19" s="330"/>
      <c r="N19" s="330"/>
      <c r="O19" s="338" t="s">
        <v>377</v>
      </c>
      <c r="P19" s="330"/>
      <c r="Q19" s="330"/>
    </row>
    <row r="20" spans="1:17" ht="13.5" thickBot="1">
      <c r="A20" s="330"/>
      <c r="B20" s="330"/>
      <c r="C20" s="330"/>
      <c r="D20" s="340"/>
      <c r="E20" s="340"/>
      <c r="F20" s="340"/>
      <c r="G20" s="330"/>
      <c r="H20" s="330"/>
      <c r="I20" s="330"/>
      <c r="J20" s="330"/>
      <c r="K20" s="340"/>
      <c r="L20" s="330"/>
      <c r="M20" s="330"/>
      <c r="N20" s="330"/>
      <c r="O20" s="330"/>
      <c r="P20" s="330"/>
      <c r="Q20" s="330"/>
    </row>
    <row r="21" spans="1:17" ht="12.75">
      <c r="A21" s="337" t="s">
        <v>378</v>
      </c>
      <c r="B21" s="330"/>
      <c r="C21" s="330"/>
      <c r="D21" s="337" t="s">
        <v>378</v>
      </c>
      <c r="E21" s="330"/>
      <c r="F21" s="330"/>
      <c r="G21" s="337" t="s">
        <v>378</v>
      </c>
      <c r="H21" s="332"/>
      <c r="I21" s="330"/>
      <c r="J21" s="330"/>
      <c r="K21" s="337" t="s">
        <v>378</v>
      </c>
      <c r="L21" s="330"/>
      <c r="M21" s="330"/>
      <c r="N21" s="337" t="s">
        <v>378</v>
      </c>
      <c r="O21" s="330"/>
      <c r="P21" s="341" t="s">
        <v>378</v>
      </c>
      <c r="Q21" s="330"/>
    </row>
    <row r="22" spans="1:17" ht="13.5" thickBot="1">
      <c r="A22" s="338" t="s">
        <v>379</v>
      </c>
      <c r="B22" s="330"/>
      <c r="C22" s="330"/>
      <c r="D22" s="338" t="s">
        <v>379</v>
      </c>
      <c r="E22" s="330"/>
      <c r="F22" s="330"/>
      <c r="G22" s="338" t="s">
        <v>379</v>
      </c>
      <c r="H22" s="332"/>
      <c r="I22" s="330"/>
      <c r="J22" s="330"/>
      <c r="K22" s="338" t="s">
        <v>379</v>
      </c>
      <c r="L22" s="330"/>
      <c r="M22" s="330"/>
      <c r="N22" s="338" t="s">
        <v>379</v>
      </c>
      <c r="O22" s="330"/>
      <c r="P22" s="338" t="s">
        <v>379</v>
      </c>
      <c r="Q22" s="330"/>
    </row>
    <row r="23" spans="1:17" ht="13.5" thickBot="1">
      <c r="A23" s="330"/>
      <c r="B23" s="330"/>
      <c r="C23" s="330"/>
      <c r="D23" s="330"/>
      <c r="E23" s="330"/>
      <c r="F23" s="330"/>
      <c r="G23" s="330"/>
      <c r="H23" s="330"/>
      <c r="I23" s="330"/>
      <c r="J23" s="330"/>
      <c r="K23" s="330"/>
      <c r="L23" s="330"/>
      <c r="M23" s="330"/>
      <c r="N23" s="330"/>
      <c r="O23" s="330"/>
      <c r="P23" s="330"/>
      <c r="Q23" s="330"/>
    </row>
    <row r="24" spans="1:17" ht="13.5" thickBot="1">
      <c r="A24" s="330"/>
      <c r="B24" s="339" t="s">
        <v>380</v>
      </c>
      <c r="C24" s="340"/>
      <c r="D24" s="330"/>
      <c r="E24" s="339" t="s">
        <v>381</v>
      </c>
      <c r="F24" s="332"/>
      <c r="G24" s="342"/>
      <c r="H24" s="339" t="s">
        <v>382</v>
      </c>
      <c r="I24" s="330"/>
      <c r="J24" s="330"/>
      <c r="K24" s="330"/>
      <c r="L24" s="332" t="s">
        <v>56</v>
      </c>
      <c r="M24" s="330"/>
      <c r="N24" s="330"/>
      <c r="O24" s="337" t="s">
        <v>383</v>
      </c>
      <c r="P24" s="330"/>
      <c r="Q24" s="339" t="s">
        <v>384</v>
      </c>
    </row>
    <row r="25" spans="1:17" ht="13.5" thickBot="1">
      <c r="A25" s="330"/>
      <c r="B25" s="332" t="s">
        <v>385</v>
      </c>
      <c r="C25" s="340"/>
      <c r="D25" s="330"/>
      <c r="E25" s="330"/>
      <c r="F25" s="330"/>
      <c r="G25" s="342"/>
      <c r="H25" s="332" t="s">
        <v>56</v>
      </c>
      <c r="I25" s="330"/>
      <c r="J25" s="330"/>
      <c r="K25" s="330"/>
      <c r="L25" s="339" t="s">
        <v>386</v>
      </c>
      <c r="M25" s="330"/>
      <c r="N25" s="330"/>
      <c r="O25" s="338" t="s">
        <v>387</v>
      </c>
      <c r="P25" s="330"/>
      <c r="Q25" s="330"/>
    </row>
    <row r="26" spans="1:17" ht="13.5" thickBot="1">
      <c r="A26" s="330"/>
      <c r="B26" s="330"/>
      <c r="C26" s="330"/>
      <c r="D26" s="330"/>
      <c r="E26" s="330"/>
      <c r="F26" s="330"/>
      <c r="G26" s="330"/>
      <c r="H26" s="332"/>
      <c r="I26" s="330"/>
      <c r="J26" s="330"/>
      <c r="K26" s="330"/>
      <c r="L26" s="330"/>
      <c r="M26" s="330"/>
      <c r="N26" s="330"/>
      <c r="O26" s="330"/>
      <c r="P26" s="330"/>
      <c r="Q26" s="330"/>
    </row>
    <row r="27" spans="1:17" ht="13.5" thickBot="1">
      <c r="A27" s="330"/>
      <c r="B27" s="339" t="s">
        <v>388</v>
      </c>
      <c r="C27" s="340"/>
      <c r="D27" s="330"/>
      <c r="E27" s="337" t="s">
        <v>389</v>
      </c>
      <c r="F27" s="332"/>
      <c r="G27" s="330"/>
      <c r="H27" s="332"/>
      <c r="I27" s="330"/>
      <c r="J27" s="330"/>
      <c r="K27" s="330"/>
      <c r="L27" s="332" t="s">
        <v>56</v>
      </c>
      <c r="M27" s="330"/>
      <c r="N27" s="330"/>
      <c r="O27" s="332"/>
      <c r="P27" s="330"/>
      <c r="Q27" s="337" t="s">
        <v>390</v>
      </c>
    </row>
    <row r="28" spans="1:17" ht="13.5" thickBot="1">
      <c r="A28" s="330"/>
      <c r="B28" s="330"/>
      <c r="C28" s="330"/>
      <c r="D28" s="330"/>
      <c r="E28" s="338" t="s">
        <v>391</v>
      </c>
      <c r="F28" s="332"/>
      <c r="G28" s="330"/>
      <c r="H28" s="332"/>
      <c r="I28" s="330"/>
      <c r="J28" s="330"/>
      <c r="K28" s="330"/>
      <c r="L28" s="330"/>
      <c r="M28" s="330"/>
      <c r="N28" s="330"/>
      <c r="O28" s="332"/>
      <c r="P28" s="330"/>
      <c r="Q28" s="338" t="s">
        <v>392</v>
      </c>
    </row>
    <row r="29" spans="1:17" ht="12.75">
      <c r="A29" s="330"/>
      <c r="B29" s="337" t="s">
        <v>393</v>
      </c>
      <c r="C29" s="340"/>
      <c r="D29" s="330"/>
      <c r="E29" s="330"/>
      <c r="F29" s="330"/>
      <c r="G29" s="330"/>
      <c r="H29" s="330"/>
      <c r="I29" s="330"/>
      <c r="J29" s="330"/>
      <c r="K29" s="330"/>
      <c r="L29" s="337" t="s">
        <v>394</v>
      </c>
      <c r="M29" s="330"/>
      <c r="N29" s="330"/>
      <c r="O29" s="342"/>
      <c r="P29" s="330"/>
      <c r="Q29" s="330"/>
    </row>
    <row r="30" spans="1:17" ht="13.5" thickBot="1">
      <c r="A30" s="330"/>
      <c r="B30" s="338" t="s">
        <v>395</v>
      </c>
      <c r="C30" s="330"/>
      <c r="D30" s="330"/>
      <c r="E30" s="330"/>
      <c r="F30" s="330"/>
      <c r="G30" s="330"/>
      <c r="H30" s="330"/>
      <c r="I30" s="330"/>
      <c r="J30" s="330"/>
      <c r="K30" s="330"/>
      <c r="L30" s="338" t="s">
        <v>396</v>
      </c>
      <c r="M30" s="330"/>
      <c r="N30" s="330"/>
      <c r="O30" s="342"/>
      <c r="P30" s="330"/>
      <c r="Q30" s="330"/>
    </row>
    <row r="31" spans="1:17" ht="16.5" customHeight="1">
      <c r="A31" s="330"/>
      <c r="B31" s="332"/>
      <c r="C31" s="340"/>
      <c r="D31" s="330"/>
      <c r="E31" s="332"/>
      <c r="F31" s="332"/>
      <c r="G31" s="330"/>
      <c r="H31" s="343"/>
      <c r="I31" s="330"/>
      <c r="J31" s="330"/>
      <c r="K31" s="330"/>
      <c r="L31" s="332"/>
      <c r="M31" s="330"/>
      <c r="N31" s="330"/>
      <c r="O31" s="332"/>
      <c r="P31" s="330"/>
      <c r="Q31" s="332"/>
    </row>
    <row r="32" spans="1:17" ht="12.75">
      <c r="A32" s="330"/>
      <c r="B32" s="332"/>
      <c r="C32" s="340"/>
      <c r="D32" s="344"/>
      <c r="E32" s="330"/>
      <c r="F32" s="330"/>
      <c r="G32" s="330"/>
      <c r="H32" s="330"/>
      <c r="I32" s="330"/>
      <c r="J32" s="330"/>
      <c r="K32" s="330"/>
      <c r="L32" s="332"/>
      <c r="M32" s="330"/>
      <c r="N32" s="330"/>
      <c r="O32" s="332"/>
      <c r="P32" s="330"/>
      <c r="Q32" s="332"/>
    </row>
    <row r="33" spans="1:17" ht="12.75">
      <c r="A33" s="330"/>
      <c r="B33" s="330"/>
      <c r="C33" s="330"/>
      <c r="D33" s="330"/>
      <c r="E33" s="330"/>
      <c r="F33" s="330"/>
      <c r="G33" s="330"/>
      <c r="H33" s="330"/>
      <c r="I33" s="330"/>
      <c r="J33" s="330"/>
      <c r="K33" s="330"/>
      <c r="L33" s="332" t="s">
        <v>56</v>
      </c>
      <c r="M33" s="330"/>
      <c r="N33" s="330"/>
      <c r="O33" s="342"/>
      <c r="P33" s="330"/>
      <c r="Q33" s="330"/>
    </row>
    <row r="34" spans="1:17" ht="12.75">
      <c r="A34" s="330"/>
      <c r="B34" s="330"/>
      <c r="C34" s="330"/>
      <c r="D34" s="330"/>
      <c r="E34" s="330"/>
      <c r="F34" s="330"/>
      <c r="G34" s="330"/>
      <c r="H34" s="330"/>
      <c r="I34" s="330"/>
      <c r="J34" s="330"/>
      <c r="K34" s="330"/>
      <c r="L34" s="332" t="s">
        <v>56</v>
      </c>
      <c r="M34" s="330"/>
      <c r="N34" s="330"/>
      <c r="O34" s="332"/>
      <c r="P34" s="330"/>
      <c r="Q34" s="330"/>
    </row>
    <row r="35" spans="1:17" ht="12.75">
      <c r="A35" s="330"/>
      <c r="B35" s="330"/>
      <c r="C35" s="330"/>
      <c r="D35" s="330"/>
      <c r="E35" s="330"/>
      <c r="F35" s="330"/>
      <c r="G35" s="330"/>
      <c r="H35" s="330"/>
      <c r="I35" s="330"/>
      <c r="J35" s="330"/>
      <c r="K35" s="330"/>
      <c r="L35" s="330" t="s">
        <v>56</v>
      </c>
      <c r="M35" s="330"/>
      <c r="N35" s="330"/>
      <c r="O35" s="332"/>
      <c r="P35" s="330"/>
      <c r="Q35" s="330"/>
    </row>
    <row r="36" spans="1:17" ht="12.75">
      <c r="A36" s="330"/>
      <c r="B36" s="342" t="s">
        <v>56</v>
      </c>
      <c r="C36" s="330"/>
      <c r="D36" s="330"/>
      <c r="E36" s="330"/>
      <c r="F36" s="330"/>
      <c r="G36" s="330"/>
      <c r="H36" s="330"/>
      <c r="I36" s="330"/>
      <c r="J36" s="330"/>
      <c r="K36" s="330"/>
      <c r="L36" s="330"/>
      <c r="M36" s="330"/>
      <c r="N36" s="330"/>
      <c r="O36" s="330"/>
      <c r="P36" s="330"/>
      <c r="Q36" s="330"/>
    </row>
    <row r="37" spans="1:17" ht="12.75">
      <c r="A37" s="330"/>
      <c r="B37" s="330"/>
      <c r="C37" s="330"/>
      <c r="D37" s="330"/>
      <c r="E37" s="330"/>
      <c r="F37" s="330"/>
      <c r="G37" s="330"/>
      <c r="H37" s="330"/>
      <c r="I37" s="330"/>
      <c r="J37" s="330"/>
      <c r="K37" s="330"/>
      <c r="L37" s="330"/>
      <c r="M37" s="330"/>
      <c r="N37" s="330"/>
      <c r="O37" s="330"/>
      <c r="P37" s="330"/>
      <c r="Q37" s="330"/>
    </row>
    <row r="38" spans="1:17" ht="18.75">
      <c r="A38" s="345" t="s">
        <v>56</v>
      </c>
      <c r="B38" s="346"/>
      <c r="C38" s="346"/>
      <c r="D38" s="346"/>
      <c r="E38" s="346"/>
      <c r="F38" s="346"/>
      <c r="G38" s="346"/>
      <c r="H38" s="330"/>
      <c r="I38" s="330"/>
      <c r="J38" s="330"/>
      <c r="K38" s="330"/>
      <c r="L38" s="330"/>
      <c r="M38" s="330"/>
      <c r="N38" s="330"/>
      <c r="O38" s="330"/>
      <c r="P38" s="330"/>
      <c r="Q38" s="330"/>
    </row>
    <row r="39" spans="1:17" ht="12.75">
      <c r="A39" s="330"/>
      <c r="B39" s="330"/>
      <c r="C39" s="330"/>
      <c r="D39" s="330"/>
      <c r="E39" s="330"/>
      <c r="F39" s="330"/>
      <c r="G39" s="330"/>
      <c r="H39" s="330"/>
      <c r="I39" s="330"/>
      <c r="J39" s="330"/>
      <c r="K39" s="330"/>
      <c r="L39" s="330"/>
      <c r="M39" s="330"/>
      <c r="N39" s="330"/>
      <c r="O39" s="330"/>
      <c r="P39" s="330"/>
      <c r="Q39" s="330"/>
    </row>
    <row r="40" spans="1:17" ht="12.75">
      <c r="A40" s="330"/>
      <c r="B40" s="330"/>
      <c r="C40" s="330"/>
      <c r="D40" s="330"/>
      <c r="E40" s="330"/>
      <c r="F40" s="330"/>
      <c r="G40" s="330"/>
      <c r="H40" s="330"/>
      <c r="I40" s="330"/>
      <c r="J40" s="330"/>
      <c r="K40" s="330"/>
      <c r="L40" s="330"/>
      <c r="M40" s="330"/>
      <c r="N40" s="330"/>
      <c r="O40" s="330"/>
      <c r="P40" s="330"/>
      <c r="Q40" s="330"/>
    </row>
    <row r="41" spans="1:17" ht="13.5" thickBot="1">
      <c r="A41" s="330"/>
      <c r="B41" s="330"/>
      <c r="C41" s="330"/>
      <c r="D41" s="330"/>
      <c r="E41" s="330"/>
      <c r="F41" s="330"/>
      <c r="G41" s="330"/>
      <c r="H41" s="330"/>
      <c r="I41" s="330"/>
      <c r="J41" s="330"/>
      <c r="K41" s="330"/>
      <c r="L41" s="330"/>
      <c r="M41" s="330"/>
      <c r="N41" s="330"/>
      <c r="O41" s="330"/>
      <c r="P41" s="330"/>
      <c r="Q41" s="330"/>
    </row>
    <row r="42" spans="1:17" ht="13.5" thickBot="1">
      <c r="A42" s="330"/>
      <c r="B42" s="330"/>
      <c r="C42" s="437" t="s">
        <v>397</v>
      </c>
      <c r="D42" s="438"/>
      <c r="E42" s="330"/>
      <c r="F42" s="330"/>
      <c r="G42" s="330"/>
      <c r="H42" s="330"/>
      <c r="I42" s="330"/>
      <c r="J42" s="330"/>
      <c r="K42" s="330"/>
      <c r="L42" s="330"/>
      <c r="M42" s="330"/>
      <c r="N42" s="339" t="s">
        <v>397</v>
      </c>
      <c r="O42" s="330"/>
      <c r="P42" s="330"/>
      <c r="Q42" s="330"/>
    </row>
    <row r="43" spans="1:17" ht="12.75">
      <c r="A43" s="330"/>
      <c r="B43" s="330"/>
      <c r="C43" s="330"/>
      <c r="D43" s="347"/>
      <c r="E43" s="330"/>
      <c r="F43" s="330"/>
      <c r="G43" s="330"/>
      <c r="H43" s="330"/>
      <c r="I43" s="330"/>
      <c r="J43" s="330"/>
      <c r="K43" s="330"/>
      <c r="L43" s="330"/>
      <c r="M43" s="330"/>
      <c r="N43" s="332" t="s">
        <v>56</v>
      </c>
      <c r="O43" s="330"/>
      <c r="P43" s="330"/>
      <c r="Q43" s="330"/>
    </row>
    <row r="44" spans="1:17" ht="12.75">
      <c r="A44" s="434" t="s">
        <v>398</v>
      </c>
      <c r="B44" s="435"/>
      <c r="C44" s="435"/>
      <c r="D44" s="435"/>
      <c r="E44" s="330"/>
      <c r="F44" s="330"/>
      <c r="G44" s="330"/>
      <c r="H44" s="330"/>
      <c r="I44" s="330"/>
      <c r="J44" s="330"/>
      <c r="K44" s="342"/>
      <c r="L44" s="342"/>
      <c r="M44" s="330"/>
      <c r="N44" s="330"/>
      <c r="O44" s="330"/>
      <c r="P44" s="330"/>
      <c r="Q44" s="330"/>
    </row>
    <row r="45" spans="1:17" ht="12.75">
      <c r="A45" s="434" t="s">
        <v>399</v>
      </c>
      <c r="B45" s="435"/>
      <c r="C45" s="435"/>
      <c r="D45" s="435"/>
      <c r="E45" s="330"/>
      <c r="F45" s="330"/>
      <c r="G45" s="330"/>
      <c r="H45" s="330"/>
      <c r="I45" s="330"/>
      <c r="J45" s="330"/>
      <c r="K45" s="342"/>
      <c r="L45" s="342"/>
      <c r="M45" s="330"/>
      <c r="N45" s="332" t="s">
        <v>56</v>
      </c>
      <c r="O45" s="330"/>
      <c r="P45" s="330"/>
      <c r="Q45" s="330"/>
    </row>
    <row r="46" spans="1:17" ht="12.75">
      <c r="A46" s="434" t="s">
        <v>400</v>
      </c>
      <c r="B46" s="435"/>
      <c r="C46" s="435"/>
      <c r="D46" s="435"/>
      <c r="E46" s="330"/>
      <c r="F46" s="330"/>
      <c r="G46" s="330"/>
      <c r="H46" s="330"/>
      <c r="I46" s="330"/>
      <c r="J46" s="330"/>
      <c r="K46" s="330"/>
      <c r="L46" s="330"/>
      <c r="M46" s="330"/>
      <c r="N46" s="330"/>
      <c r="O46" s="330"/>
      <c r="P46" s="330"/>
      <c r="Q46" s="330"/>
    </row>
    <row r="47" spans="1:17" ht="12.75">
      <c r="A47" s="330"/>
      <c r="B47" s="330"/>
      <c r="C47" s="330"/>
      <c r="D47" s="330"/>
      <c r="E47" s="330"/>
      <c r="F47" s="330"/>
      <c r="G47" s="330"/>
      <c r="H47" s="330"/>
      <c r="I47" s="330"/>
      <c r="J47" s="330"/>
      <c r="K47" s="330"/>
      <c r="L47" s="330"/>
      <c r="M47" s="330"/>
      <c r="N47" s="330"/>
      <c r="O47" s="330"/>
      <c r="P47" s="330"/>
      <c r="Q47" s="330"/>
    </row>
    <row r="48" spans="1:17" ht="12.75">
      <c r="A48" s="330"/>
      <c r="B48" s="330"/>
      <c r="C48" s="330"/>
      <c r="D48" s="330"/>
      <c r="E48" s="330"/>
      <c r="F48" s="330"/>
      <c r="G48" s="330"/>
      <c r="H48" s="330"/>
      <c r="I48" s="330"/>
      <c r="J48" s="330"/>
      <c r="K48" s="330"/>
      <c r="L48" s="330"/>
      <c r="M48" s="330"/>
      <c r="N48" s="342"/>
      <c r="O48" s="330"/>
      <c r="P48" s="330"/>
      <c r="Q48" s="330"/>
    </row>
  </sheetData>
  <mergeCells count="5">
    <mergeCell ref="A46:D46"/>
    <mergeCell ref="A1:P1"/>
    <mergeCell ref="C42:D42"/>
    <mergeCell ref="A44:D44"/>
    <mergeCell ref="A45:D45"/>
  </mergeCells>
  <printOptions/>
  <pageMargins left="0.7480314960629921" right="0.7480314960629921" top="0.984251968503937" bottom="0.984251968503937" header="0.5118110236220472" footer="0.5118110236220472"/>
  <pageSetup horizontalDpi="300" verticalDpi="300" orientation="landscape" paperSize="9" scale="70"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sheetPr>
    <tabColor indexed="12"/>
  </sheetPr>
  <dimension ref="A2:F13"/>
  <sheetViews>
    <sheetView showGridLines="0" workbookViewId="0" topLeftCell="A10">
      <selection activeCell="G10" sqref="G10"/>
    </sheetView>
  </sheetViews>
  <sheetFormatPr defaultColWidth="9.00390625" defaultRowHeight="12.75"/>
  <cols>
    <col min="1" max="4" width="9.125" style="14" customWidth="1"/>
    <col min="5" max="5" width="14.125" style="14" customWidth="1"/>
    <col min="6" max="6" width="33.875" style="14" customWidth="1"/>
    <col min="7" max="16384" width="9.125" style="14" customWidth="1"/>
  </cols>
  <sheetData>
    <row r="2" spans="1:6" ht="20.25" customHeight="1">
      <c r="A2" s="405" t="s">
        <v>453</v>
      </c>
      <c r="B2" s="406"/>
      <c r="C2" s="406"/>
      <c r="D2" s="406"/>
      <c r="E2" s="406"/>
      <c r="F2" s="406"/>
    </row>
    <row r="3" spans="1:6" ht="13.5" customHeight="1">
      <c r="A3" s="305"/>
      <c r="B3" s="321"/>
      <c r="C3" s="321"/>
      <c r="D3" s="321"/>
      <c r="E3" s="321"/>
      <c r="F3" s="321"/>
    </row>
    <row r="4" spans="1:6" ht="18.75" customHeight="1" thickBot="1">
      <c r="A4" s="403" t="s">
        <v>352</v>
      </c>
      <c r="B4" s="403"/>
      <c r="C4" s="403"/>
      <c r="D4" s="403"/>
      <c r="E4" s="403"/>
      <c r="F4" s="403"/>
    </row>
    <row r="5" spans="1:6" ht="60" customHeight="1" thickTop="1">
      <c r="A5" s="323" t="s">
        <v>350</v>
      </c>
      <c r="B5" s="324"/>
      <c r="C5" s="324"/>
      <c r="D5" s="324"/>
      <c r="E5" s="324"/>
      <c r="F5" s="325"/>
    </row>
    <row r="6" spans="1:6" ht="60" customHeight="1">
      <c r="A6" s="410" t="s">
        <v>353</v>
      </c>
      <c r="B6" s="411"/>
      <c r="C6" s="411"/>
      <c r="D6" s="411"/>
      <c r="E6" s="411"/>
      <c r="F6" s="407"/>
    </row>
    <row r="7" spans="1:6" ht="60" customHeight="1">
      <c r="A7" s="410" t="s">
        <v>354</v>
      </c>
      <c r="B7" s="411"/>
      <c r="C7" s="411"/>
      <c r="D7" s="411"/>
      <c r="E7" s="411"/>
      <c r="F7" s="407"/>
    </row>
    <row r="8" spans="1:6" ht="53.25" customHeight="1">
      <c r="A8" s="410" t="s">
        <v>355</v>
      </c>
      <c r="B8" s="411"/>
      <c r="C8" s="411"/>
      <c r="D8" s="411"/>
      <c r="E8" s="411"/>
      <c r="F8" s="407"/>
    </row>
    <row r="9" spans="1:6" ht="60" customHeight="1">
      <c r="A9" s="326" t="s">
        <v>351</v>
      </c>
      <c r="B9" s="322"/>
      <c r="C9" s="322"/>
      <c r="D9" s="322"/>
      <c r="E9" s="322"/>
      <c r="F9" s="327"/>
    </row>
    <row r="10" spans="1:6" ht="60" customHeight="1">
      <c r="A10" s="410" t="s">
        <v>356</v>
      </c>
      <c r="B10" s="411"/>
      <c r="C10" s="411"/>
      <c r="D10" s="411"/>
      <c r="E10" s="411"/>
      <c r="F10" s="407"/>
    </row>
    <row r="11" spans="1:6" ht="60" customHeight="1">
      <c r="A11" s="408" t="s">
        <v>357</v>
      </c>
      <c r="B11" s="409"/>
      <c r="C11" s="409"/>
      <c r="D11" s="409"/>
      <c r="E11" s="409"/>
      <c r="F11" s="404"/>
    </row>
    <row r="12" spans="1:6" ht="60" customHeight="1">
      <c r="A12" s="410" t="s">
        <v>358</v>
      </c>
      <c r="B12" s="411"/>
      <c r="C12" s="411"/>
      <c r="D12" s="411"/>
      <c r="E12" s="411"/>
      <c r="F12" s="407"/>
    </row>
    <row r="13" spans="1:6" ht="60" customHeight="1" thickBot="1">
      <c r="A13" s="439" t="s">
        <v>359</v>
      </c>
      <c r="B13" s="440"/>
      <c r="C13" s="440"/>
      <c r="D13" s="440"/>
      <c r="E13" s="440"/>
      <c r="F13" s="441"/>
    </row>
    <row r="14" ht="16.5" thickTop="1"/>
  </sheetData>
  <mergeCells count="9">
    <mergeCell ref="A2:F2"/>
    <mergeCell ref="A4:F4"/>
    <mergeCell ref="A6:F6"/>
    <mergeCell ref="A7:F7"/>
    <mergeCell ref="A13:F13"/>
    <mergeCell ref="A8:F8"/>
    <mergeCell ref="A10:F10"/>
    <mergeCell ref="A11:F11"/>
    <mergeCell ref="A12:F12"/>
  </mergeCells>
  <printOptions/>
  <pageMargins left="0.75" right="0.75" top="1" bottom="1" header="0.5" footer="0.5"/>
  <pageSetup horizontalDpi="300" verticalDpi="300" orientation="portrait" paperSize="9"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tabColor indexed="12"/>
  </sheetPr>
  <dimension ref="A1:G33"/>
  <sheetViews>
    <sheetView showGridLines="0" workbookViewId="0" topLeftCell="A1">
      <selection activeCell="C54" sqref="C54"/>
    </sheetView>
  </sheetViews>
  <sheetFormatPr defaultColWidth="9.00390625" defaultRowHeight="12.75"/>
  <cols>
    <col min="1" max="1" width="22.75390625" style="1" customWidth="1"/>
    <col min="2" max="2" width="15.75390625" style="1" customWidth="1"/>
    <col min="3" max="3" width="13.875" style="1" customWidth="1"/>
    <col min="4" max="4" width="15.75390625" style="1" customWidth="1"/>
    <col min="5" max="5" width="14.625" style="1" customWidth="1"/>
    <col min="6" max="16384" width="9.125" style="1" customWidth="1"/>
  </cols>
  <sheetData>
    <row r="1" spans="1:5" ht="18.75">
      <c r="A1" s="451" t="s">
        <v>454</v>
      </c>
      <c r="B1" s="406"/>
      <c r="C1" s="406"/>
      <c r="D1" s="406"/>
      <c r="E1" s="406"/>
    </row>
    <row r="2" spans="1:5" ht="15.75">
      <c r="A2" s="452" t="s">
        <v>469</v>
      </c>
      <c r="B2" s="452"/>
      <c r="C2" s="452"/>
      <c r="D2" s="452"/>
      <c r="E2" s="452"/>
    </row>
    <row r="3" spans="1:5" ht="16.5" thickBot="1">
      <c r="A3" s="453" t="s">
        <v>32</v>
      </c>
      <c r="B3" s="453"/>
      <c r="C3" s="453"/>
      <c r="D3" s="453"/>
      <c r="E3" s="453"/>
    </row>
    <row r="4" spans="1:5" ht="20.25" customHeight="1" thickTop="1">
      <c r="A4" s="115"/>
      <c r="B4" s="448" t="s">
        <v>26</v>
      </c>
      <c r="C4" s="449"/>
      <c r="D4" s="448" t="s">
        <v>27</v>
      </c>
      <c r="E4" s="450"/>
    </row>
    <row r="5" spans="1:5" ht="15.75" customHeight="1">
      <c r="A5" s="382" t="s">
        <v>28</v>
      </c>
      <c r="B5" s="402">
        <f>18615+5688</f>
        <v>24303</v>
      </c>
      <c r="C5" s="401"/>
      <c r="D5" s="402">
        <f>13641+3777</f>
        <v>17418</v>
      </c>
      <c r="E5" s="442"/>
    </row>
    <row r="6" spans="1:5" ht="15.75" customHeight="1">
      <c r="A6" s="382" t="s">
        <v>29</v>
      </c>
      <c r="B6" s="402">
        <f>140+433</f>
        <v>573</v>
      </c>
      <c r="C6" s="401"/>
      <c r="D6" s="402">
        <f>256+46</f>
        <v>302</v>
      </c>
      <c r="E6" s="442"/>
    </row>
    <row r="7" spans="1:7" ht="15.75" customHeight="1">
      <c r="A7" s="382" t="s">
        <v>30</v>
      </c>
      <c r="B7" s="402">
        <f>51+28</f>
        <v>79</v>
      </c>
      <c r="C7" s="401"/>
      <c r="D7" s="402">
        <v>3</v>
      </c>
      <c r="E7" s="442"/>
      <c r="G7" s="1" t="s">
        <v>56</v>
      </c>
    </row>
    <row r="8" spans="1:5" ht="24.75" customHeight="1" thickBot="1">
      <c r="A8" s="124" t="s">
        <v>31</v>
      </c>
      <c r="B8" s="443">
        <f>+B7+B6+B5</f>
        <v>24955</v>
      </c>
      <c r="C8" s="444"/>
      <c r="D8" s="443">
        <f>+D7+D6+D5</f>
        <v>17723</v>
      </c>
      <c r="E8" s="445"/>
    </row>
    <row r="9" ht="13.5" thickTop="1"/>
    <row r="23" ht="19.5" customHeight="1"/>
    <row r="24" spans="1:5" ht="30" customHeight="1">
      <c r="A24" s="452" t="s">
        <v>37</v>
      </c>
      <c r="B24" s="452"/>
      <c r="C24" s="452"/>
      <c r="D24" s="452"/>
      <c r="E24" s="452"/>
    </row>
    <row r="25" spans="1:5" ht="14.25">
      <c r="A25" s="446" t="s">
        <v>469</v>
      </c>
      <c r="B25" s="446"/>
      <c r="C25" s="446"/>
      <c r="D25" s="446"/>
      <c r="E25" s="446"/>
    </row>
    <row r="26" spans="1:5" ht="15" thickBot="1">
      <c r="A26" s="447" t="s">
        <v>33</v>
      </c>
      <c r="B26" s="447"/>
      <c r="C26" s="447"/>
      <c r="D26" s="447"/>
      <c r="E26" s="447"/>
    </row>
    <row r="27" spans="1:5" ht="20.25" customHeight="1" thickTop="1">
      <c r="A27" s="115"/>
      <c r="B27" s="448" t="s">
        <v>26</v>
      </c>
      <c r="C27" s="449"/>
      <c r="D27" s="448" t="s">
        <v>27</v>
      </c>
      <c r="E27" s="450"/>
    </row>
    <row r="28" spans="1:5" ht="18.75" customHeight="1">
      <c r="A28" s="382" t="s">
        <v>34</v>
      </c>
      <c r="B28" s="402">
        <v>1515</v>
      </c>
      <c r="C28" s="401"/>
      <c r="D28" s="402">
        <v>876</v>
      </c>
      <c r="E28" s="442"/>
    </row>
    <row r="29" spans="1:5" ht="31.5" customHeight="1">
      <c r="A29" s="382" t="s">
        <v>35</v>
      </c>
      <c r="B29" s="402">
        <v>1997</v>
      </c>
      <c r="C29" s="401"/>
      <c r="D29" s="402">
        <v>1505</v>
      </c>
      <c r="E29" s="442"/>
    </row>
    <row r="30" spans="1:5" ht="15.75" customHeight="1">
      <c r="A30" s="382" t="s">
        <v>36</v>
      </c>
      <c r="B30" s="402">
        <v>1518</v>
      </c>
      <c r="C30" s="401"/>
      <c r="D30" s="402">
        <v>679</v>
      </c>
      <c r="E30" s="442"/>
    </row>
    <row r="31" spans="1:5" ht="15.75" customHeight="1">
      <c r="A31" s="382" t="s">
        <v>29</v>
      </c>
      <c r="B31" s="402">
        <f>99+20</f>
        <v>119</v>
      </c>
      <c r="C31" s="401"/>
      <c r="D31" s="402">
        <f>32+8</f>
        <v>40</v>
      </c>
      <c r="E31" s="442"/>
    </row>
    <row r="32" spans="1:7" ht="18.75" customHeight="1">
      <c r="A32" s="382" t="s">
        <v>30</v>
      </c>
      <c r="B32" s="402">
        <v>51</v>
      </c>
      <c r="C32" s="401"/>
      <c r="D32" s="402">
        <v>0</v>
      </c>
      <c r="E32" s="442"/>
      <c r="G32" s="1" t="s">
        <v>56</v>
      </c>
    </row>
    <row r="33" spans="1:5" ht="24.75" customHeight="1" thickBot="1">
      <c r="A33" s="124" t="s">
        <v>31</v>
      </c>
      <c r="B33" s="443">
        <f>+B32+B31+B30+B29+B28</f>
        <v>5200</v>
      </c>
      <c r="C33" s="444"/>
      <c r="D33" s="443">
        <f>+D32+D31+D30+D29+D28</f>
        <v>3100</v>
      </c>
      <c r="E33" s="445"/>
    </row>
    <row r="34" ht="13.5" thickTop="1"/>
    <row r="49" ht="18.75" customHeight="1"/>
  </sheetData>
  <mergeCells count="30">
    <mergeCell ref="B4:C4"/>
    <mergeCell ref="D4:E4"/>
    <mergeCell ref="B5:C5"/>
    <mergeCell ref="B6:C6"/>
    <mergeCell ref="A1:E1"/>
    <mergeCell ref="A2:E2"/>
    <mergeCell ref="A3:E3"/>
    <mergeCell ref="A24:E24"/>
    <mergeCell ref="B7:C7"/>
    <mergeCell ref="B8:C8"/>
    <mergeCell ref="D5:E5"/>
    <mergeCell ref="D6:E6"/>
    <mergeCell ref="D7:E7"/>
    <mergeCell ref="D8:E8"/>
    <mergeCell ref="B28:C28"/>
    <mergeCell ref="D28:E28"/>
    <mergeCell ref="A25:E25"/>
    <mergeCell ref="A26:E26"/>
    <mergeCell ref="B27:C27"/>
    <mergeCell ref="D27:E27"/>
    <mergeCell ref="B32:C32"/>
    <mergeCell ref="D32:E32"/>
    <mergeCell ref="B33:C33"/>
    <mergeCell ref="D33:E33"/>
    <mergeCell ref="B29:C29"/>
    <mergeCell ref="B30:C30"/>
    <mergeCell ref="B31:C31"/>
    <mergeCell ref="D29:E29"/>
    <mergeCell ref="D30:E30"/>
    <mergeCell ref="D31:E31"/>
  </mergeCells>
  <printOptions/>
  <pageMargins left="0.75" right="0.75" top="1" bottom="1" header="0.5" footer="0.5"/>
  <pageSetup horizontalDpi="300" verticalDpi="300" orientation="portrait" paperSize="9"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sheetPr>
    <tabColor indexed="12"/>
  </sheetPr>
  <dimension ref="A1:E9"/>
  <sheetViews>
    <sheetView showGridLines="0" workbookViewId="0" topLeftCell="A1">
      <selection activeCell="B5" sqref="B5"/>
    </sheetView>
  </sheetViews>
  <sheetFormatPr defaultColWidth="9.00390625" defaultRowHeight="12.75"/>
  <cols>
    <col min="1" max="1" width="20.75390625" style="1" customWidth="1"/>
    <col min="2" max="5" width="15.75390625" style="1" customWidth="1"/>
    <col min="6" max="16384" width="9.125" style="1" customWidth="1"/>
  </cols>
  <sheetData>
    <row r="1" spans="1:5" ht="37.5" customHeight="1">
      <c r="A1" s="456" t="s">
        <v>455</v>
      </c>
      <c r="B1" s="456"/>
      <c r="C1" s="456"/>
      <c r="D1" s="456"/>
      <c r="E1" s="456"/>
    </row>
    <row r="2" spans="1:5" ht="15.75">
      <c r="A2" s="452" t="s">
        <v>469</v>
      </c>
      <c r="B2" s="452"/>
      <c r="C2" s="452"/>
      <c r="D2" s="452"/>
      <c r="E2" s="452"/>
    </row>
    <row r="3" spans="1:5" ht="16.5" thickBot="1">
      <c r="A3" s="453" t="s">
        <v>38</v>
      </c>
      <c r="B3" s="453"/>
      <c r="C3" s="453"/>
      <c r="D3" s="453"/>
      <c r="E3" s="453"/>
    </row>
    <row r="4" spans="1:5" ht="16.5" thickTop="1">
      <c r="A4" s="118"/>
      <c r="B4" s="454" t="s">
        <v>39</v>
      </c>
      <c r="C4" s="454"/>
      <c r="D4" s="454" t="s">
        <v>40</v>
      </c>
      <c r="E4" s="455"/>
    </row>
    <row r="5" spans="1:5" ht="20.25" customHeight="1">
      <c r="A5" s="119"/>
      <c r="B5" s="120" t="s">
        <v>26</v>
      </c>
      <c r="C5" s="120" t="s">
        <v>27</v>
      </c>
      <c r="D5" s="120" t="s">
        <v>26</v>
      </c>
      <c r="E5" s="121" t="s">
        <v>27</v>
      </c>
    </row>
    <row r="6" spans="1:5" ht="15.75" customHeight="1">
      <c r="A6" s="382" t="s">
        <v>28</v>
      </c>
      <c r="B6" s="122">
        <v>15103</v>
      </c>
      <c r="C6" s="122">
        <v>11260</v>
      </c>
      <c r="D6" s="122">
        <v>4170</v>
      </c>
      <c r="E6" s="123">
        <v>3098</v>
      </c>
    </row>
    <row r="7" spans="1:5" ht="15.75" customHeight="1">
      <c r="A7" s="382" t="s">
        <v>29</v>
      </c>
      <c r="B7" s="122">
        <v>334</v>
      </c>
      <c r="C7" s="122">
        <v>224</v>
      </c>
      <c r="D7" s="122">
        <v>120</v>
      </c>
      <c r="E7" s="123">
        <v>38</v>
      </c>
    </row>
    <row r="8" spans="1:5" ht="15.75" customHeight="1">
      <c r="A8" s="382" t="s">
        <v>30</v>
      </c>
      <c r="B8" s="122">
        <v>0</v>
      </c>
      <c r="C8" s="122">
        <v>0</v>
      </c>
      <c r="D8" s="122">
        <v>0</v>
      </c>
      <c r="E8" s="123">
        <v>0</v>
      </c>
    </row>
    <row r="9" spans="1:5" ht="24.75" customHeight="1" thickBot="1">
      <c r="A9" s="124" t="s">
        <v>31</v>
      </c>
      <c r="B9" s="125">
        <f>+B8+B7+B6</f>
        <v>15437</v>
      </c>
      <c r="C9" s="125">
        <f>+C8+C7+C6</f>
        <v>11484</v>
      </c>
      <c r="D9" s="125">
        <f>+D8+D7+D6</f>
        <v>4290</v>
      </c>
      <c r="E9" s="126">
        <f>+E8+E7+E6</f>
        <v>3136</v>
      </c>
    </row>
    <row r="10" ht="13.5" thickTop="1"/>
  </sheetData>
  <mergeCells count="5">
    <mergeCell ref="B4:C4"/>
    <mergeCell ref="D4:E4"/>
    <mergeCell ref="A1:E1"/>
    <mergeCell ref="A2:E2"/>
    <mergeCell ref="A3:E3"/>
  </mergeCells>
  <printOptions/>
  <pageMargins left="0.75" right="0.75" top="1" bottom="1" header="0.5" footer="0.5"/>
  <pageSetup horizontalDpi="300" verticalDpi="300" orientation="portrait" paperSize="9" r:id="rId2"/>
  <headerFooter alignWithMargins="0">
    <oddFooter>&amp;C&amp;"Arial Tur,Kalın" 4</oddFooter>
  </headerFooter>
  <drawing r:id="rId1"/>
</worksheet>
</file>

<file path=xl/worksheets/sheet7.xml><?xml version="1.0" encoding="utf-8"?>
<worksheet xmlns="http://schemas.openxmlformats.org/spreadsheetml/2006/main" xmlns:r="http://schemas.openxmlformats.org/officeDocument/2006/relationships">
  <sheetPr>
    <tabColor indexed="12"/>
  </sheetPr>
  <dimension ref="A1:E9"/>
  <sheetViews>
    <sheetView showGridLines="0" workbookViewId="0" topLeftCell="A1">
      <selection activeCell="H10" sqref="H10"/>
    </sheetView>
  </sheetViews>
  <sheetFormatPr defaultColWidth="9.00390625" defaultRowHeight="12.75"/>
  <cols>
    <col min="1" max="1" width="20.75390625" style="1" customWidth="1"/>
    <col min="2" max="5" width="15.75390625" style="1" customWidth="1"/>
    <col min="6" max="16384" width="9.125" style="1" customWidth="1"/>
  </cols>
  <sheetData>
    <row r="1" spans="1:5" ht="52.5" customHeight="1">
      <c r="A1" s="456" t="s">
        <v>456</v>
      </c>
      <c r="B1" s="459"/>
      <c r="C1" s="459"/>
      <c r="D1" s="459"/>
      <c r="E1" s="459"/>
    </row>
    <row r="2" spans="1:5" ht="15.75">
      <c r="A2" s="452" t="s">
        <v>469</v>
      </c>
      <c r="B2" s="452"/>
      <c r="C2" s="452"/>
      <c r="D2" s="452"/>
      <c r="E2" s="452"/>
    </row>
    <row r="3" spans="1:5" ht="16.5" thickBot="1">
      <c r="A3" s="453" t="s">
        <v>41</v>
      </c>
      <c r="B3" s="453"/>
      <c r="C3" s="453"/>
      <c r="D3" s="453"/>
      <c r="E3" s="453"/>
    </row>
    <row r="4" spans="1:5" ht="26.25" customHeight="1" thickTop="1">
      <c r="A4" s="115"/>
      <c r="B4" s="448" t="s">
        <v>26</v>
      </c>
      <c r="C4" s="449"/>
      <c r="D4" s="448" t="s">
        <v>27</v>
      </c>
      <c r="E4" s="450"/>
    </row>
    <row r="5" spans="1:5" ht="26.25" customHeight="1">
      <c r="A5" s="383" t="s">
        <v>29</v>
      </c>
      <c r="B5" s="402">
        <v>0</v>
      </c>
      <c r="C5" s="401"/>
      <c r="D5" s="402">
        <v>0</v>
      </c>
      <c r="E5" s="442"/>
    </row>
    <row r="6" spans="1:5" ht="21.75" customHeight="1">
      <c r="A6" s="382" t="s">
        <v>30</v>
      </c>
      <c r="B6" s="402">
        <v>28</v>
      </c>
      <c r="C6" s="401"/>
      <c r="D6" s="402">
        <v>3</v>
      </c>
      <c r="E6" s="442"/>
    </row>
    <row r="7" spans="1:5" ht="34.5" customHeight="1" thickBot="1">
      <c r="A7" s="124" t="s">
        <v>31</v>
      </c>
      <c r="B7" s="443">
        <f>+B6</f>
        <v>28</v>
      </c>
      <c r="C7" s="444"/>
      <c r="D7" s="443">
        <f>+D6</f>
        <v>3</v>
      </c>
      <c r="E7" s="445"/>
    </row>
    <row r="8" ht="13.5" thickTop="1"/>
    <row r="9" spans="1:5" ht="49.5" customHeight="1">
      <c r="A9" s="457" t="s">
        <v>488</v>
      </c>
      <c r="B9" s="458"/>
      <c r="C9" s="458"/>
      <c r="D9" s="458"/>
      <c r="E9" s="458"/>
    </row>
  </sheetData>
  <mergeCells count="12">
    <mergeCell ref="B5:C5"/>
    <mergeCell ref="D5:E5"/>
    <mergeCell ref="A1:E1"/>
    <mergeCell ref="A2:E2"/>
    <mergeCell ref="A3:E3"/>
    <mergeCell ref="B4:C4"/>
    <mergeCell ref="D4:E4"/>
    <mergeCell ref="A9:E9"/>
    <mergeCell ref="B6:C6"/>
    <mergeCell ref="D6:E6"/>
    <mergeCell ref="B7:C7"/>
    <mergeCell ref="D7:E7"/>
  </mergeCells>
  <printOptions/>
  <pageMargins left="0.75" right="0.75" top="1" bottom="1" header="0.5" footer="0.5"/>
  <pageSetup horizontalDpi="300" verticalDpi="300" orientation="portrait" paperSize="9" r:id="rId2"/>
  <headerFooter alignWithMargins="0">
    <oddFooter>&amp;C5</oddFooter>
  </headerFooter>
  <drawing r:id="rId1"/>
</worksheet>
</file>

<file path=xl/worksheets/sheet8.xml><?xml version="1.0" encoding="utf-8"?>
<worksheet xmlns="http://schemas.openxmlformats.org/spreadsheetml/2006/main" xmlns:r="http://schemas.openxmlformats.org/officeDocument/2006/relationships">
  <sheetPr>
    <tabColor indexed="12"/>
  </sheetPr>
  <dimension ref="A1:E25"/>
  <sheetViews>
    <sheetView showGridLines="0" workbookViewId="0" topLeftCell="A13">
      <selection activeCell="A14" sqref="A14"/>
    </sheetView>
  </sheetViews>
  <sheetFormatPr defaultColWidth="9.00390625" defaultRowHeight="12.75"/>
  <cols>
    <col min="1" max="1" width="23.875" style="1" customWidth="1"/>
    <col min="2" max="2" width="17.625" style="1" customWidth="1"/>
    <col min="3" max="3" width="11.875" style="1" customWidth="1"/>
    <col min="4" max="4" width="17.875" style="1" customWidth="1"/>
    <col min="5" max="5" width="12.125" style="1" customWidth="1"/>
    <col min="6" max="16384" width="9.125" style="1" customWidth="1"/>
  </cols>
  <sheetData>
    <row r="1" spans="1:5" ht="15.75">
      <c r="A1" s="456" t="s">
        <v>457</v>
      </c>
      <c r="B1" s="459"/>
      <c r="C1" s="459"/>
      <c r="D1" s="459"/>
      <c r="E1" s="459"/>
    </row>
    <row r="2" spans="1:5" ht="28.5" customHeight="1" thickBot="1">
      <c r="A2" s="462" t="s">
        <v>79</v>
      </c>
      <c r="B2" s="463"/>
      <c r="C2" s="463"/>
      <c r="D2" s="463"/>
      <c r="E2" s="463"/>
    </row>
    <row r="3" spans="1:5" ht="22.5" customHeight="1" thickTop="1">
      <c r="A3" s="127">
        <v>2001</v>
      </c>
      <c r="B3" s="467" t="s">
        <v>47</v>
      </c>
      <c r="C3" s="467"/>
      <c r="D3" s="467"/>
      <c r="E3" s="468"/>
    </row>
    <row r="4" spans="1:5" ht="22.5" customHeight="1">
      <c r="A4" s="128">
        <v>2002</v>
      </c>
      <c r="B4" s="469" t="s">
        <v>49</v>
      </c>
      <c r="C4" s="469"/>
      <c r="D4" s="469"/>
      <c r="E4" s="470"/>
    </row>
    <row r="5" spans="1:5" ht="22.5" customHeight="1">
      <c r="A5" s="128">
        <v>2003</v>
      </c>
      <c r="B5" s="469" t="s">
        <v>48</v>
      </c>
      <c r="C5" s="469"/>
      <c r="D5" s="469"/>
      <c r="E5" s="470"/>
    </row>
    <row r="6" spans="1:5" ht="22.5" customHeight="1">
      <c r="A6" s="128">
        <v>2004</v>
      </c>
      <c r="B6" s="469" t="s">
        <v>50</v>
      </c>
      <c r="C6" s="469"/>
      <c r="D6" s="469"/>
      <c r="E6" s="470"/>
    </row>
    <row r="7" spans="1:5" ht="22.5" customHeight="1">
      <c r="A7" s="128">
        <v>2005</v>
      </c>
      <c r="B7" s="469" t="s">
        <v>51</v>
      </c>
      <c r="C7" s="469"/>
      <c r="D7" s="469"/>
      <c r="E7" s="470"/>
    </row>
    <row r="8" spans="1:5" ht="22.5" customHeight="1" thickBot="1">
      <c r="A8" s="129">
        <v>2006</v>
      </c>
      <c r="B8" s="460" t="s">
        <v>52</v>
      </c>
      <c r="C8" s="460"/>
      <c r="D8" s="460"/>
      <c r="E8" s="461"/>
    </row>
    <row r="9" ht="16.5" customHeight="1" thickTop="1"/>
    <row r="10" spans="1:5" ht="20.25" customHeight="1">
      <c r="A10" s="466" t="s">
        <v>78</v>
      </c>
      <c r="B10" s="466"/>
      <c r="C10" s="466"/>
      <c r="D10" s="466"/>
      <c r="E10" s="466"/>
    </row>
    <row r="11" spans="1:5" ht="18.75" customHeight="1" thickBot="1">
      <c r="A11" s="3"/>
      <c r="B11" s="3"/>
      <c r="C11" s="3"/>
      <c r="D11" s="3"/>
      <c r="E11" s="3" t="s">
        <v>55</v>
      </c>
    </row>
    <row r="12" spans="1:5" ht="36.75" customHeight="1" thickTop="1">
      <c r="A12" s="130"/>
      <c r="B12" s="116" t="s">
        <v>42</v>
      </c>
      <c r="C12" s="116" t="s">
        <v>448</v>
      </c>
      <c r="D12" s="116" t="s">
        <v>54</v>
      </c>
      <c r="E12" s="131" t="s">
        <v>449</v>
      </c>
    </row>
    <row r="13" spans="1:5" ht="28.5" customHeight="1">
      <c r="A13" s="132" t="s">
        <v>46</v>
      </c>
      <c r="B13" s="133">
        <f>+B14+B15+B16</f>
        <v>21972650</v>
      </c>
      <c r="C13" s="134">
        <f>+B13/B13*100</f>
        <v>100</v>
      </c>
      <c r="D13" s="133">
        <f>+D14+D15+D16</f>
        <v>24935000</v>
      </c>
      <c r="E13" s="135">
        <f>+D13/D13*100</f>
        <v>100</v>
      </c>
    </row>
    <row r="14" spans="1:5" ht="39.75" customHeight="1">
      <c r="A14" s="136" t="s">
        <v>445</v>
      </c>
      <c r="B14" s="137">
        <v>19212650</v>
      </c>
      <c r="C14" s="138">
        <f>+B14/B13*100</f>
        <v>87.4389297604067</v>
      </c>
      <c r="D14" s="137">
        <v>21670000</v>
      </c>
      <c r="E14" s="139">
        <f>+D14/D13*100</f>
        <v>86.90595548425908</v>
      </c>
    </row>
    <row r="15" spans="1:5" ht="52.5" customHeight="1">
      <c r="A15" s="136" t="s">
        <v>446</v>
      </c>
      <c r="B15" s="137">
        <v>550000</v>
      </c>
      <c r="C15" s="138">
        <f>+B15/B13*100</f>
        <v>2.5031118231073632</v>
      </c>
      <c r="D15" s="137">
        <v>760000</v>
      </c>
      <c r="E15" s="139">
        <f>+D15/D13*100</f>
        <v>3.0479246039703227</v>
      </c>
    </row>
    <row r="16" spans="1:5" ht="39.75" customHeight="1">
      <c r="A16" s="117" t="s">
        <v>43</v>
      </c>
      <c r="B16" s="137">
        <v>2210000</v>
      </c>
      <c r="C16" s="138">
        <f>+B16/B13*100</f>
        <v>10.05795841648595</v>
      </c>
      <c r="D16" s="137">
        <v>2505000</v>
      </c>
      <c r="E16" s="139">
        <f>+D16/D13*100</f>
        <v>10.046119911770605</v>
      </c>
    </row>
    <row r="17" spans="1:5" ht="36.75" customHeight="1">
      <c r="A17" s="132" t="s">
        <v>44</v>
      </c>
      <c r="B17" s="133">
        <f>+B18+B19+B20+B21</f>
        <v>30312650</v>
      </c>
      <c r="C17" s="134">
        <f>+B17/B17*100</f>
        <v>100</v>
      </c>
      <c r="D17" s="133">
        <f>+D18+D19+D20+D21</f>
        <v>35935000</v>
      </c>
      <c r="E17" s="135">
        <f>+D17/D17*100</f>
        <v>100</v>
      </c>
    </row>
    <row r="18" spans="1:5" ht="39.75" customHeight="1">
      <c r="A18" s="136" t="s">
        <v>447</v>
      </c>
      <c r="B18" s="137">
        <v>21678140</v>
      </c>
      <c r="C18" s="138">
        <f>+B18/B17*100</f>
        <v>71.51515951261273</v>
      </c>
      <c r="D18" s="137">
        <v>23998925</v>
      </c>
      <c r="E18" s="139">
        <f>+D18/D17*100</f>
        <v>66.78426325309587</v>
      </c>
    </row>
    <row r="19" spans="1:5" ht="39.75" customHeight="1">
      <c r="A19" s="136" t="s">
        <v>450</v>
      </c>
      <c r="B19" s="137">
        <v>7946404</v>
      </c>
      <c r="C19" s="138">
        <f>+B19/B17*100</f>
        <v>26.214811308150228</v>
      </c>
      <c r="D19" s="137">
        <v>11191252</v>
      </c>
      <c r="E19" s="139">
        <f>+D19/D17*100</f>
        <v>31.143041602894115</v>
      </c>
    </row>
    <row r="20" spans="1:5" ht="39.75" customHeight="1">
      <c r="A20" s="117" t="s">
        <v>451</v>
      </c>
      <c r="B20" s="137">
        <v>548106</v>
      </c>
      <c r="C20" s="138">
        <f>+B20/B17*100</f>
        <v>1.8081757945940062</v>
      </c>
      <c r="D20" s="137">
        <v>715823</v>
      </c>
      <c r="E20" s="139">
        <f>+D20/D17*100</f>
        <v>1.99199387783498</v>
      </c>
    </row>
    <row r="21" spans="1:5" ht="39.75" customHeight="1">
      <c r="A21" s="117" t="s">
        <v>452</v>
      </c>
      <c r="B21" s="137">
        <v>140000</v>
      </c>
      <c r="C21" s="138">
        <f>+B21/B17*100</f>
        <v>0.46185338464304504</v>
      </c>
      <c r="D21" s="137">
        <v>29000</v>
      </c>
      <c r="E21" s="139">
        <f>+D21/D17*100</f>
        <v>0.08070126617503827</v>
      </c>
    </row>
    <row r="22" spans="1:5" ht="39.75" customHeight="1" thickBot="1">
      <c r="A22" s="124" t="s">
        <v>45</v>
      </c>
      <c r="B22" s="140">
        <f>+B17-B13</f>
        <v>8340000</v>
      </c>
      <c r="C22" s="141"/>
      <c r="D22" s="140">
        <f>+D17-D13</f>
        <v>11000000</v>
      </c>
      <c r="E22" s="142"/>
    </row>
    <row r="23" spans="1:5" ht="21.75" customHeight="1" thickTop="1">
      <c r="A23" s="464" t="s">
        <v>53</v>
      </c>
      <c r="B23" s="465"/>
      <c r="C23" s="465"/>
      <c r="D23" s="465"/>
      <c r="E23" s="465"/>
    </row>
    <row r="24" ht="12.75">
      <c r="A24" s="2"/>
    </row>
    <row r="25" ht="12.75">
      <c r="A25" s="2"/>
    </row>
  </sheetData>
  <mergeCells count="10">
    <mergeCell ref="B8:E8"/>
    <mergeCell ref="A1:E1"/>
    <mergeCell ref="A2:E2"/>
    <mergeCell ref="A23:E23"/>
    <mergeCell ref="A10:E10"/>
    <mergeCell ref="B3:E3"/>
    <mergeCell ref="B4:E4"/>
    <mergeCell ref="B5:E5"/>
    <mergeCell ref="B6:E6"/>
    <mergeCell ref="B7:E7"/>
  </mergeCells>
  <printOptions/>
  <pageMargins left="0.75" right="0.75" top="1" bottom="1" header="0.5" footer="0.5"/>
  <pageSetup horizontalDpi="300" verticalDpi="300" orientation="portrait" paperSize="9" r:id="rId1"/>
  <headerFooter alignWithMargins="0">
    <oddFooter>&amp;C6</oddFooter>
  </headerFooter>
  <ignoredErrors>
    <ignoredError sqref="C17:D17 C13:D13" formula="1"/>
  </ignoredErrors>
</worksheet>
</file>

<file path=xl/worksheets/sheet9.xml><?xml version="1.0" encoding="utf-8"?>
<worksheet xmlns="http://schemas.openxmlformats.org/spreadsheetml/2006/main" xmlns:r="http://schemas.openxmlformats.org/officeDocument/2006/relationships">
  <sheetPr>
    <tabColor indexed="12"/>
  </sheetPr>
  <dimension ref="A1:M48"/>
  <sheetViews>
    <sheetView showGridLines="0" workbookViewId="0" topLeftCell="A16">
      <selection activeCell="D23" sqref="D23"/>
    </sheetView>
  </sheetViews>
  <sheetFormatPr defaultColWidth="9.00390625" defaultRowHeight="12.75"/>
  <cols>
    <col min="1" max="1" width="22.00390625" style="6" customWidth="1"/>
    <col min="2" max="3" width="0.12890625" style="6" hidden="1" customWidth="1"/>
    <col min="4" max="4" width="20.875" style="6" customWidth="1"/>
    <col min="5" max="5" width="22.125" style="6" customWidth="1"/>
    <col min="6" max="6" width="19.00390625" style="6" bestFit="1" customWidth="1"/>
    <col min="7" max="7" width="14.00390625" style="6" customWidth="1"/>
    <col min="8" max="8" width="14.125" style="6" customWidth="1"/>
    <col min="9" max="9" width="19.875" style="6" customWidth="1"/>
    <col min="10" max="10" width="1.625" style="6" customWidth="1"/>
    <col min="11" max="11" width="9.125" style="6" customWidth="1"/>
    <col min="12" max="12" width="16.00390625" style="377" customWidth="1"/>
    <col min="13" max="13" width="15.875" style="377" customWidth="1"/>
    <col min="14" max="16384" width="9.125" style="6" customWidth="1"/>
  </cols>
  <sheetData>
    <row r="1" spans="1:9" ht="12.75">
      <c r="A1" s="482" t="s">
        <v>470</v>
      </c>
      <c r="B1" s="483"/>
      <c r="C1" s="483"/>
      <c r="D1" s="483"/>
      <c r="E1" s="483"/>
      <c r="F1" s="483"/>
      <c r="G1" s="483"/>
      <c r="H1" s="483"/>
      <c r="I1" s="483"/>
    </row>
    <row r="2" spans="1:9" ht="13.5" customHeight="1">
      <c r="A2" s="484" t="s">
        <v>57</v>
      </c>
      <c r="B2" s="485"/>
      <c r="C2" s="485"/>
      <c r="D2" s="485"/>
      <c r="E2" s="485"/>
      <c r="F2" s="485"/>
      <c r="G2" s="485"/>
      <c r="H2" s="485"/>
      <c r="I2" s="485"/>
    </row>
    <row r="3" spans="1:9" ht="16.5" customHeight="1" thickBot="1">
      <c r="A3" s="363" t="s">
        <v>115</v>
      </c>
      <c r="I3" s="364" t="s">
        <v>55</v>
      </c>
    </row>
    <row r="4" spans="1:9" ht="14.25" customHeight="1" thickTop="1">
      <c r="A4" s="491" t="s">
        <v>471</v>
      </c>
      <c r="B4" s="486" t="s">
        <v>60</v>
      </c>
      <c r="C4" s="493" t="s">
        <v>61</v>
      </c>
      <c r="D4" s="486" t="s">
        <v>472</v>
      </c>
      <c r="E4" s="486" t="s">
        <v>473</v>
      </c>
      <c r="F4" s="473" t="s">
        <v>474</v>
      </c>
      <c r="G4" s="474"/>
      <c r="H4" s="473" t="s">
        <v>65</v>
      </c>
      <c r="I4" s="488"/>
    </row>
    <row r="5" spans="1:9" ht="23.25" customHeight="1">
      <c r="A5" s="492"/>
      <c r="B5" s="487"/>
      <c r="C5" s="494"/>
      <c r="D5" s="487"/>
      <c r="E5" s="487"/>
      <c r="F5" s="475"/>
      <c r="G5" s="476"/>
      <c r="H5" s="489"/>
      <c r="I5" s="490"/>
    </row>
    <row r="6" spans="1:13" ht="12" customHeight="1">
      <c r="A6" s="147">
        <v>1989</v>
      </c>
      <c r="B6" s="365">
        <v>4705</v>
      </c>
      <c r="C6" s="366">
        <v>669</v>
      </c>
      <c r="D6" s="367">
        <v>5374</v>
      </c>
      <c r="E6" s="367">
        <v>4692</v>
      </c>
      <c r="F6" s="367">
        <v>682</v>
      </c>
      <c r="G6" s="368"/>
      <c r="H6" s="367">
        <v>319.01806053858854</v>
      </c>
      <c r="I6" s="369"/>
      <c r="L6" s="378">
        <v>1989</v>
      </c>
      <c r="M6" s="379">
        <v>319.01806053858854</v>
      </c>
    </row>
    <row r="7" spans="1:13" ht="12" customHeight="1">
      <c r="A7" s="147">
        <f>+A6+1</f>
        <v>1990</v>
      </c>
      <c r="B7" s="365">
        <v>9289</v>
      </c>
      <c r="C7" s="366">
        <v>1414</v>
      </c>
      <c r="D7" s="367">
        <v>10703</v>
      </c>
      <c r="E7" s="367">
        <v>9304</v>
      </c>
      <c r="F7" s="367">
        <v>1399</v>
      </c>
      <c r="G7" s="368"/>
      <c r="H7" s="367">
        <v>531.036603187738</v>
      </c>
      <c r="I7" s="369"/>
      <c r="L7" s="378">
        <f>+L6+1</f>
        <v>1990</v>
      </c>
      <c r="M7" s="379">
        <v>531.036603187738</v>
      </c>
    </row>
    <row r="8" spans="1:13" ht="12" customHeight="1">
      <c r="A8" s="147">
        <f>+A7+1</f>
        <v>1991</v>
      </c>
      <c r="B8" s="365">
        <v>15426</v>
      </c>
      <c r="C8" s="366">
        <v>3085</v>
      </c>
      <c r="D8" s="367">
        <v>18511</v>
      </c>
      <c r="E8" s="367">
        <v>18383</v>
      </c>
      <c r="F8" s="367">
        <v>128</v>
      </c>
      <c r="G8" s="368"/>
      <c r="H8" s="367">
        <v>30.014960581915048</v>
      </c>
      <c r="I8" s="369"/>
      <c r="L8" s="378">
        <f>+L7+1</f>
        <v>1991</v>
      </c>
      <c r="M8" s="379">
        <v>30.014960581915048</v>
      </c>
    </row>
    <row r="9" spans="1:13" ht="12" customHeight="1">
      <c r="A9" s="147">
        <f>+A8+1</f>
        <v>1992</v>
      </c>
      <c r="B9" s="365">
        <v>29024</v>
      </c>
      <c r="C9" s="366">
        <v>3765</v>
      </c>
      <c r="D9" s="367">
        <v>32789</v>
      </c>
      <c r="E9" s="367">
        <v>35345</v>
      </c>
      <c r="F9" s="367">
        <v>-2556</v>
      </c>
      <c r="G9" s="368" t="s">
        <v>58</v>
      </c>
      <c r="H9" s="367">
        <v>-365.4049046601992</v>
      </c>
      <c r="I9" s="370" t="s">
        <v>58</v>
      </c>
      <c r="L9" s="378">
        <f>+L8+1</f>
        <v>1992</v>
      </c>
      <c r="M9" s="379">
        <v>-365.4049046601992</v>
      </c>
    </row>
    <row r="10" spans="1:13" ht="12" customHeight="1">
      <c r="A10" s="147">
        <v>1993</v>
      </c>
      <c r="B10" s="365">
        <v>44444</v>
      </c>
      <c r="C10" s="366">
        <v>7724</v>
      </c>
      <c r="D10" s="367">
        <v>52168</v>
      </c>
      <c r="E10" s="367">
        <v>60252</v>
      </c>
      <c r="F10" s="367">
        <v>-8084</v>
      </c>
      <c r="G10" s="368" t="s">
        <v>58</v>
      </c>
      <c r="H10" s="367">
        <v>-720.7489940808355</v>
      </c>
      <c r="I10" s="370" t="s">
        <v>58</v>
      </c>
      <c r="L10" s="378">
        <v>1993</v>
      </c>
      <c r="M10" s="379">
        <v>-720.7489940808355</v>
      </c>
    </row>
    <row r="11" spans="1:13" ht="12" customHeight="1">
      <c r="A11" s="147">
        <v>1994</v>
      </c>
      <c r="B11" s="365">
        <v>65304</v>
      </c>
      <c r="C11" s="366">
        <v>25031</v>
      </c>
      <c r="D11" s="367">
        <v>90335</v>
      </c>
      <c r="E11" s="367">
        <v>109734</v>
      </c>
      <c r="F11" s="367">
        <v>-19399</v>
      </c>
      <c r="G11" s="368" t="s">
        <v>58</v>
      </c>
      <c r="H11" s="367">
        <v>-641.019710059109</v>
      </c>
      <c r="I11" s="370" t="s">
        <v>58</v>
      </c>
      <c r="L11" s="378">
        <v>1994</v>
      </c>
      <c r="M11" s="379">
        <v>-641.019710059109</v>
      </c>
    </row>
    <row r="12" spans="1:13" ht="12" customHeight="1">
      <c r="A12" s="147">
        <v>1995</v>
      </c>
      <c r="B12" s="365">
        <v>103384</v>
      </c>
      <c r="C12" s="366">
        <v>34774</v>
      </c>
      <c r="D12" s="367">
        <v>138158</v>
      </c>
      <c r="E12" s="367">
        <v>219493</v>
      </c>
      <c r="F12" s="367">
        <v>-81335</v>
      </c>
      <c r="G12" s="368" t="s">
        <v>58</v>
      </c>
      <c r="H12" s="367">
        <v>-1746.9390174700345</v>
      </c>
      <c r="I12" s="370" t="s">
        <v>58</v>
      </c>
      <c r="L12" s="378">
        <v>1995</v>
      </c>
      <c r="M12" s="379">
        <v>-1746.9390174700345</v>
      </c>
    </row>
    <row r="13" spans="1:13" ht="12" customHeight="1">
      <c r="A13" s="147">
        <v>1996</v>
      </c>
      <c r="B13" s="365">
        <v>277533</v>
      </c>
      <c r="C13" s="366">
        <v>64903</v>
      </c>
      <c r="D13" s="367">
        <v>342436</v>
      </c>
      <c r="E13" s="367">
        <v>486819</v>
      </c>
      <c r="F13" s="367">
        <v>-144383</v>
      </c>
      <c r="G13" s="368" t="s">
        <v>58</v>
      </c>
      <c r="H13" s="367">
        <v>-1738.581867827656</v>
      </c>
      <c r="I13" s="370" t="s">
        <v>58</v>
      </c>
      <c r="L13" s="378">
        <v>1996</v>
      </c>
      <c r="M13" s="379">
        <v>-1738.581867827656</v>
      </c>
    </row>
    <row r="14" spans="1:13" ht="12" customHeight="1">
      <c r="A14" s="147">
        <v>1997</v>
      </c>
      <c r="B14" s="365">
        <v>659653</v>
      </c>
      <c r="C14" s="366">
        <f aca="true" t="shared" si="0" ref="C14:C19">+D14-B14</f>
        <v>64736</v>
      </c>
      <c r="D14" s="367">
        <v>724389</v>
      </c>
      <c r="E14" s="367">
        <v>1060389</v>
      </c>
      <c r="F14" s="367">
        <v>-336000</v>
      </c>
      <c r="G14" s="368" t="s">
        <v>58</v>
      </c>
      <c r="H14" s="367">
        <v>-2221</v>
      </c>
      <c r="I14" s="370" t="s">
        <v>58</v>
      </c>
      <c r="L14" s="378">
        <v>1997</v>
      </c>
      <c r="M14" s="379">
        <v>-2221</v>
      </c>
    </row>
    <row r="15" spans="1:13" ht="12" customHeight="1">
      <c r="A15" s="147">
        <v>1998</v>
      </c>
      <c r="B15" s="365">
        <v>1283913</v>
      </c>
      <c r="C15" s="366">
        <f t="shared" si="0"/>
        <v>266105</v>
      </c>
      <c r="D15" s="367">
        <v>1550018</v>
      </c>
      <c r="E15" s="367">
        <v>1997018</v>
      </c>
      <c r="F15" s="367">
        <v>-447000</v>
      </c>
      <c r="G15" s="368" t="s">
        <v>58</v>
      </c>
      <c r="H15" s="367">
        <v>-1692</v>
      </c>
      <c r="I15" s="370" t="s">
        <v>58</v>
      </c>
      <c r="L15" s="378">
        <v>1998</v>
      </c>
      <c r="M15" s="379">
        <v>-1692</v>
      </c>
    </row>
    <row r="16" spans="1:13" ht="12" customHeight="1">
      <c r="A16" s="147">
        <v>1999</v>
      </c>
      <c r="B16" s="365">
        <v>2126820</v>
      </c>
      <c r="C16" s="366">
        <f t="shared" si="0"/>
        <v>368015</v>
      </c>
      <c r="D16" s="367">
        <v>2494835</v>
      </c>
      <c r="E16" s="367">
        <v>3605835</v>
      </c>
      <c r="F16" s="367">
        <v>-1111000</v>
      </c>
      <c r="G16" s="368" t="s">
        <v>58</v>
      </c>
      <c r="H16" s="367">
        <v>-2662</v>
      </c>
      <c r="I16" s="370" t="s">
        <v>59</v>
      </c>
      <c r="L16" s="378">
        <v>1999</v>
      </c>
      <c r="M16" s="379">
        <v>-2662</v>
      </c>
    </row>
    <row r="17" spans="1:13" ht="12" customHeight="1">
      <c r="A17" s="147">
        <v>2000</v>
      </c>
      <c r="B17" s="365">
        <v>4046018</v>
      </c>
      <c r="C17" s="366">
        <f t="shared" si="0"/>
        <v>848700</v>
      </c>
      <c r="D17" s="367">
        <v>4894718</v>
      </c>
      <c r="E17" s="367">
        <v>5294718</v>
      </c>
      <c r="F17" s="367">
        <v>-400000</v>
      </c>
      <c r="G17" s="368" t="s">
        <v>58</v>
      </c>
      <c r="H17" s="367">
        <v>-688</v>
      </c>
      <c r="I17" s="370" t="s">
        <v>59</v>
      </c>
      <c r="L17" s="378">
        <v>2000</v>
      </c>
      <c r="M17" s="379">
        <v>-688</v>
      </c>
    </row>
    <row r="18" spans="1:13" ht="12" customHeight="1">
      <c r="A18" s="147">
        <v>2001</v>
      </c>
      <c r="B18" s="365">
        <v>6158198</v>
      </c>
      <c r="C18" s="366">
        <f t="shared" si="0"/>
        <v>1540333</v>
      </c>
      <c r="D18" s="367">
        <v>7698531</v>
      </c>
      <c r="E18" s="367">
        <v>8806531</v>
      </c>
      <c r="F18" s="367">
        <v>-1108000</v>
      </c>
      <c r="G18" s="368" t="s">
        <v>58</v>
      </c>
      <c r="H18" s="367">
        <v>-806</v>
      </c>
      <c r="I18" s="370" t="s">
        <v>59</v>
      </c>
      <c r="L18" s="378">
        <v>2001</v>
      </c>
      <c r="M18" s="379">
        <v>-806</v>
      </c>
    </row>
    <row r="19" spans="1:13" ht="12" customHeight="1">
      <c r="A19" s="147">
        <v>2002</v>
      </c>
      <c r="B19" s="365">
        <v>9348501</v>
      </c>
      <c r="C19" s="366">
        <f t="shared" si="0"/>
        <v>1783548</v>
      </c>
      <c r="D19" s="367">
        <v>11132049</v>
      </c>
      <c r="E19" s="367">
        <v>13518049</v>
      </c>
      <c r="F19" s="367">
        <v>-2386000</v>
      </c>
      <c r="G19" s="368" t="s">
        <v>58</v>
      </c>
      <c r="H19" s="367">
        <v>-1614</v>
      </c>
      <c r="I19" s="370" t="s">
        <v>59</v>
      </c>
      <c r="L19" s="378">
        <v>2002</v>
      </c>
      <c r="M19" s="379">
        <v>-1614</v>
      </c>
    </row>
    <row r="20" spans="1:13" ht="12" customHeight="1">
      <c r="A20" s="147">
        <v>2003</v>
      </c>
      <c r="B20" s="365">
        <v>9348501</v>
      </c>
      <c r="C20" s="366">
        <f>+D20-B20</f>
        <v>6101559</v>
      </c>
      <c r="D20" s="367">
        <v>15450060</v>
      </c>
      <c r="E20" s="367">
        <v>20258677</v>
      </c>
      <c r="F20" s="367">
        <v>-4808617</v>
      </c>
      <c r="G20" s="368" t="s">
        <v>58</v>
      </c>
      <c r="H20" s="367">
        <v>-1924.7</v>
      </c>
      <c r="I20" s="370" t="s">
        <v>59</v>
      </c>
      <c r="L20" s="378">
        <v>2003</v>
      </c>
      <c r="M20" s="379">
        <v>-1924.7</v>
      </c>
    </row>
    <row r="21" spans="1:13" ht="12" customHeight="1">
      <c r="A21" s="147" t="s">
        <v>63</v>
      </c>
      <c r="B21" s="365">
        <v>9348502</v>
      </c>
      <c r="C21" s="366">
        <f>+D21-B21</f>
        <v>10069456</v>
      </c>
      <c r="D21" s="367">
        <v>19417958</v>
      </c>
      <c r="E21" s="367">
        <v>25174958</v>
      </c>
      <c r="F21" s="367">
        <v>-5757000</v>
      </c>
      <c r="G21" s="368" t="s">
        <v>58</v>
      </c>
      <c r="H21" s="367">
        <v>-4053.2</v>
      </c>
      <c r="I21" s="370" t="s">
        <v>59</v>
      </c>
      <c r="L21" s="378" t="s">
        <v>63</v>
      </c>
      <c r="M21" s="379">
        <v>-4053.2</v>
      </c>
    </row>
    <row r="22" spans="1:13" ht="12" customHeight="1">
      <c r="A22" s="147" t="s">
        <v>64</v>
      </c>
      <c r="B22" s="365">
        <v>9348502</v>
      </c>
      <c r="C22" s="366">
        <f>+D22-B22</f>
        <v>13391267</v>
      </c>
      <c r="D22" s="367">
        <v>22739769</v>
      </c>
      <c r="E22" s="367">
        <v>30151436</v>
      </c>
      <c r="F22" s="367">
        <v>-7411667</v>
      </c>
      <c r="G22" s="368" t="s">
        <v>58</v>
      </c>
      <c r="H22" s="367">
        <v>-5604.5</v>
      </c>
      <c r="I22" s="370" t="s">
        <v>59</v>
      </c>
      <c r="L22" s="378" t="s">
        <v>64</v>
      </c>
      <c r="M22" s="379">
        <v>-5604.5</v>
      </c>
    </row>
    <row r="23" spans="1:13" ht="12" customHeight="1" thickBot="1">
      <c r="A23" s="152" t="s">
        <v>62</v>
      </c>
      <c r="B23" s="371">
        <v>9348503</v>
      </c>
      <c r="C23" s="372">
        <f>+D23-B23</f>
        <v>16132622</v>
      </c>
      <c r="D23" s="373">
        <f>28420125-2695283-243717</f>
        <v>25481125</v>
      </c>
      <c r="E23" s="373">
        <v>36651162</v>
      </c>
      <c r="F23" s="373">
        <f>+D23-E23</f>
        <v>-11170037</v>
      </c>
      <c r="G23" s="374" t="s">
        <v>58</v>
      </c>
      <c r="H23" s="375">
        <f>+F23/1341.7</f>
        <v>-8325.286576731012</v>
      </c>
      <c r="I23" s="376" t="s">
        <v>59</v>
      </c>
      <c r="L23" s="378" t="s">
        <v>62</v>
      </c>
      <c r="M23" s="379">
        <v>-8205.023865444351</v>
      </c>
    </row>
    <row r="24" spans="1:9" ht="24.75" customHeight="1" thickTop="1">
      <c r="A24" s="480" t="s">
        <v>475</v>
      </c>
      <c r="B24" s="481"/>
      <c r="C24" s="481"/>
      <c r="D24" s="481"/>
      <c r="E24" s="481"/>
      <c r="F24" s="481"/>
      <c r="G24" s="481"/>
      <c r="H24" s="481"/>
      <c r="I24" s="481"/>
    </row>
    <row r="25" spans="1:10" ht="14.25" customHeight="1">
      <c r="A25" s="471" t="s">
        <v>476</v>
      </c>
      <c r="B25" s="472"/>
      <c r="C25" s="472"/>
      <c r="D25" s="472"/>
      <c r="E25" s="472"/>
      <c r="F25" s="472"/>
      <c r="G25" s="472"/>
      <c r="H25" s="472"/>
      <c r="I25" s="472"/>
      <c r="J25" s="472"/>
    </row>
    <row r="26" spans="1:12" ht="14.25" customHeight="1">
      <c r="A26" s="471" t="s">
        <v>492</v>
      </c>
      <c r="B26" s="477"/>
      <c r="C26" s="477"/>
      <c r="D26" s="477"/>
      <c r="E26" s="477"/>
      <c r="F26" s="477"/>
      <c r="G26" s="477"/>
      <c r="H26" s="477"/>
      <c r="I26" s="477"/>
      <c r="J26" s="83"/>
      <c r="L26" s="377" t="s">
        <v>56</v>
      </c>
    </row>
    <row r="27" spans="1:9" ht="24.75" customHeight="1">
      <c r="A27" s="478" t="s">
        <v>489</v>
      </c>
      <c r="B27" s="479"/>
      <c r="C27" s="479"/>
      <c r="D27" s="479"/>
      <c r="E27" s="479" t="s">
        <v>56</v>
      </c>
      <c r="F27" s="479" t="s">
        <v>56</v>
      </c>
      <c r="G27" s="479"/>
      <c r="H27" s="479"/>
      <c r="I27" s="479"/>
    </row>
    <row r="38" ht="12">
      <c r="F38" s="6" t="s">
        <v>56</v>
      </c>
    </row>
    <row r="39" ht="12">
      <c r="F39" s="6" t="s">
        <v>56</v>
      </c>
    </row>
    <row r="40" ht="12">
      <c r="F40" s="6" t="s">
        <v>56</v>
      </c>
    </row>
    <row r="43" ht="12">
      <c r="F43" s="6" t="s">
        <v>56</v>
      </c>
    </row>
    <row r="48" ht="12">
      <c r="B48" s="6">
        <v>7</v>
      </c>
    </row>
  </sheetData>
  <mergeCells count="13">
    <mergeCell ref="A1:I1"/>
    <mergeCell ref="A2:I2"/>
    <mergeCell ref="E4:E5"/>
    <mergeCell ref="H4:I5"/>
    <mergeCell ref="A4:A5"/>
    <mergeCell ref="B4:B5"/>
    <mergeCell ref="C4:C5"/>
    <mergeCell ref="D4:D5"/>
    <mergeCell ref="A25:J25"/>
    <mergeCell ref="F4:G5"/>
    <mergeCell ref="A26:I26"/>
    <mergeCell ref="A27:I27"/>
    <mergeCell ref="A24:I24"/>
  </mergeCells>
  <printOptions/>
  <pageMargins left="0.75" right="0.75" top="0.29" bottom="0.48" header="0.2" footer="0.5"/>
  <pageSetup horizontalDpi="300" verticalDpi="300" orientation="landscape" paperSize="9" r:id="rId2"/>
  <headerFooter alignWithMargins="0">
    <oddFooter>&amp;C8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SSK</dc:creator>
  <cp:keywords/>
  <dc:description/>
  <cp:lastModifiedBy>Administrator</cp:lastModifiedBy>
  <cp:lastPrinted>2006-04-20T07:19:02Z</cp:lastPrinted>
  <dcterms:created xsi:type="dcterms:W3CDTF">2006-03-30T06:42:57Z</dcterms:created>
  <dcterms:modified xsi:type="dcterms:W3CDTF">2006-04-20T12:12:08Z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1026338366</vt:i4>
  </property>
  <property fmtid="{D5CDD505-2E9C-101B-9397-08002B2CF9AE}" pid="3" name="_EmailSubject">
    <vt:lpwstr/>
  </property>
  <property fmtid="{D5CDD505-2E9C-101B-9397-08002B2CF9AE}" pid="4" name="_AuthorEmail">
    <vt:lpwstr>ttopaloglu@ssk.gov.tr</vt:lpwstr>
  </property>
  <property fmtid="{D5CDD505-2E9C-101B-9397-08002B2CF9AE}" pid="5" name="_AuthorEmailDisplayName">
    <vt:lpwstr>TULAY TOPALOGLU</vt:lpwstr>
  </property>
  <property fmtid="{D5CDD505-2E9C-101B-9397-08002B2CF9AE}" pid="6" name="_PreviousAdHocReviewCycleID">
    <vt:i4>892026156</vt:i4>
  </property>
</Properties>
</file>