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8925" windowHeight="4035" tabRatio="765" firstSheet="5" activeTab="7"/>
  </bookViews>
  <sheets>
    <sheet name="KAPAK" sheetId="1" r:id="rId1"/>
    <sheet name="İÇİNDEKİLE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s>
  <externalReferences>
    <externalReference r:id="rId30"/>
    <externalReference r:id="rId31"/>
  </externalReferences>
  <definedNames>
    <definedName name="işkoluna_göre1" localSheetId="25">'24'!#REF!</definedName>
  </definedNames>
  <calcPr fullCalcOnLoad="1"/>
</workbook>
</file>

<file path=xl/comments27.xml><?xml version="1.0" encoding="utf-8"?>
<comments xmlns="http://schemas.openxmlformats.org/spreadsheetml/2006/main">
  <authors>
    <author>scandogan</author>
  </authors>
  <commentList>
    <comment ref="B41" authorId="0">
      <text>
        <r>
          <rPr>
            <b/>
            <sz val="8"/>
            <rFont val="Tahoma"/>
            <family val="0"/>
          </rPr>
          <t>scandogan:</t>
        </r>
        <r>
          <rPr>
            <sz val="8"/>
            <rFont val="Tahoma"/>
            <family val="0"/>
          </rPr>
          <t xml:space="preserve">
PTT ÖDEME YAPILAN 37 KİŞİ İSTANBULA DAHİL EDİLMİŞTİR</t>
        </r>
      </text>
    </comment>
  </commentList>
</comments>
</file>

<file path=xl/sharedStrings.xml><?xml version="1.0" encoding="utf-8"?>
<sst xmlns="http://schemas.openxmlformats.org/spreadsheetml/2006/main" count="2781" uniqueCount="827">
  <si>
    <t>2007 YILI  HAZİRAN AYI İTİBARİYLE AYLIK VE GELİR ALANLARIN AYLIK TÜRÜNE VE İLLERE GÖRE DAĞILIMI</t>
  </si>
  <si>
    <t>( Distribution of pensioners and persons receiving income  by provinces and type of benefit by the end of 2007 by June)</t>
  </si>
  <si>
    <t xml:space="preserve"> by the branch of activites,sectors  and gender in 2007 by June )</t>
  </si>
  <si>
    <t>2007 YILI  HAZİRAN  AYI İTİBARİYLE İŞYERİ, ZORUNLU SİGORTALI SAYILARI VE PRİME ESAS  ORTALAMA GÜNLÜK KAZANÇLARIN FAALİYET GRUPLARINA GÖRE DAĞILIMI</t>
  </si>
  <si>
    <t xml:space="preserve">     2007 YILI  HAZİRAN   AYI AYI İTİBARİYLE İŞYERİ VE ZORUNLU SİGORTALI </t>
  </si>
  <si>
    <t xml:space="preserve"> to provinces in 2007 by June)</t>
  </si>
  <si>
    <t>2007 (Haziran)</t>
  </si>
  <si>
    <r>
      <t>•ASGARİ ÜCRET</t>
    </r>
    <r>
      <rPr>
        <b/>
        <sz val="11"/>
        <color indexed="8"/>
        <rFont val="Times New Roman"/>
        <family val="1"/>
      </rPr>
      <t xml:space="preserve"> (01.07.2007-31.12.2007)</t>
    </r>
  </si>
  <si>
    <r>
      <t>•</t>
    </r>
    <r>
      <rPr>
        <b/>
        <sz val="11"/>
        <color indexed="8"/>
        <rFont val="Times New Roman"/>
        <family val="1"/>
      </rPr>
      <t>ASGARİ EMEKLİ (Temmuz</t>
    </r>
    <r>
      <rPr>
        <i/>
        <sz val="11"/>
        <color indexed="8"/>
        <rFont val="Times New Roman"/>
        <family val="1"/>
      </rPr>
      <t xml:space="preserve"> 2007) </t>
    </r>
  </si>
  <si>
    <t>2007(Haziran)</t>
  </si>
  <si>
    <t>NOT:2-) 2007 yılı rakamlarımız 7 aylık fiili 5 aylık tahmini nakit akım tablosundandır.</t>
  </si>
  <si>
    <t>NOT:2005 ve 2006 yılları rakamlarımız 12 aylık fiili nakit akım tablolarından alınmıştır.2007 yılı 7 aylık fiili,5 aylık tahmini</t>
  </si>
  <si>
    <t>2007 (Nisan)</t>
  </si>
  <si>
    <r>
      <t>NOT</t>
    </r>
    <r>
      <rPr>
        <sz val="11"/>
        <color indexed="8"/>
        <rFont val="Times New Roman"/>
        <family val="1"/>
      </rPr>
      <t xml:space="preserve">:Aylar itibariyle göstermiş olduğumuz  prim gelirleri ve emekli ödemelerimiz nakit akım tablosundan alınmaktadır.Ayrıca, emekli ödemeleri içinde Müşterek emeklilik </t>
    </r>
    <r>
      <rPr>
        <b/>
        <i/>
        <sz val="11"/>
        <color indexed="8"/>
        <rFont val="Times New Roman"/>
        <family val="1"/>
      </rPr>
      <t>(Bağ-Kur,Emekli Sandığı ve Geçici 20 madde Sandıkları)</t>
    </r>
    <r>
      <rPr>
        <sz val="11"/>
        <color indexed="8"/>
        <rFont val="Times New Roman"/>
        <family val="1"/>
      </rPr>
      <t xml:space="preserve"> adına yapılan ödemeler de dahildir.</t>
    </r>
  </si>
  <si>
    <t>2007 (Ocak)</t>
  </si>
  <si>
    <t>2007 (Şubat)</t>
  </si>
  <si>
    <t>2007 (Mart)</t>
  </si>
  <si>
    <t>MALULLÜK AYLIĞI ALANLAR</t>
  </si>
  <si>
    <t>ÖLÜMAYLIĞI ALANLAR</t>
  </si>
  <si>
    <t>YAŞLILIK AYLIĞI ALANLAR</t>
  </si>
  <si>
    <t>ÖLÜM AYLIĞI ALANLAR</t>
  </si>
  <si>
    <t>(***) Emeklilerimize %3 lük temmuz ayı artışı ile birlikte  %4 lük de vergi iade artışı dahildir.1.1.2007 tarihinden önce bağlanmış gelir ve aylıklar 2006  yılı temmuz ödeme döneminden %3 lük artışın  yanı sıra %1,33 lük fark  ile birlikte % 4,37</t>
  </si>
  <si>
    <t>2007 (Mayıs)</t>
  </si>
  <si>
    <t>**</t>
  </si>
  <si>
    <r>
      <t xml:space="preserve">(***) </t>
    </r>
    <r>
      <rPr>
        <b/>
        <sz val="12"/>
        <rFont val="Times New Roman"/>
        <family val="1"/>
      </rPr>
      <t xml:space="preserve">2003 </t>
    </r>
    <r>
      <rPr>
        <sz val="12"/>
        <rFont val="Times New Roman"/>
        <family val="1"/>
      </rPr>
      <t xml:space="preserve">yılında isteğe bağlı sigortalı şartları </t>
    </r>
    <r>
      <rPr>
        <b/>
        <sz val="12"/>
        <rFont val="Times New Roman"/>
        <family val="1"/>
      </rPr>
      <t xml:space="preserve">4842 </t>
    </r>
    <r>
      <rPr>
        <sz val="12"/>
        <rFont val="Times New Roman"/>
        <family val="1"/>
      </rPr>
      <t xml:space="preserve">sayılı kanunla yeniden düzenlenmiştir.Buna göre </t>
    </r>
    <r>
      <rPr>
        <b/>
        <sz val="12"/>
        <rFont val="Times New Roman"/>
        <family val="1"/>
      </rPr>
      <t>üç ay prim</t>
    </r>
    <r>
      <rPr>
        <sz val="12"/>
        <rFont val="Times New Roman"/>
        <family val="1"/>
      </rPr>
      <t xml:space="preserve"> borcunu ödemeyen kişiler sistemden çıkarılmıştır.Bu nedenle isteğe bağlı sigortalı sayısı düşmüştür.</t>
    </r>
  </si>
  <si>
    <t>Zorunlu Sigortalı(****)</t>
  </si>
  <si>
    <t>İsteğe Bağlı (***)</t>
  </si>
  <si>
    <t>(+) 5565 sayılı “2007 Yılı Merkezi Yönetim Bütçe Kanunu”nun, 30’uncu maddesinin (7)’nci fıkrası ile 01/01/2007 tarihinden önce bağlanmış gelir ve aylıkların,2007 yılı Temmuz ayı ödeme döneminden geçerli olmak üzere 2007 yılının birinci al  aylık dönemi için Türkiye İstatistik Kurumu (TÜİK) tarafından açıklanan en son temel yıllıtüketici fiyatları genel endeksindeki değişim oranı kadar artırılarak ödeneceği öngörülmüşolup, TÜİK tarafından 2007 yılının birinci altı aylık dönemi için en son temel yıllı tüketicfiyatları endeksinde bir önceki</t>
  </si>
  <si>
    <t>2007 TEMMUZ-ARALIK(+)  YTL.</t>
  </si>
  <si>
    <r>
      <t xml:space="preserve">TABLO24- EMEKLİ AYLIK SEVİYELERİ </t>
    </r>
    <r>
      <rPr>
        <i/>
        <sz val="12"/>
        <color indexed="12"/>
        <rFont val="Times New Roman"/>
        <family val="1"/>
      </rPr>
      <t>(TL.) (Level Of Pensions)</t>
    </r>
  </si>
  <si>
    <t>2007 (HAZİRAN)</t>
  </si>
  <si>
    <t xml:space="preserve">  (****) Aylık Prim ve Hizmet  Belgesindeki TC Kimlik Numarasına göre sigortalı sayısı verilmiştir.</t>
  </si>
  <si>
    <t>**  2006 yılı ve 2007 yılı aile bireyleri sayısı olarak sağlık karnesi kullana kişi sayıları verilmiştir.Daha önceki yıllarda aile bireyleri için tespit edilen katsayılar kullanılmaktaydı.</t>
  </si>
  <si>
    <t>Tablo 11 - 2005 Yılı Hazineden Alınanlar ve Prim Tahsilatları</t>
  </si>
  <si>
    <t>Tablo 13 - 2006 Yılı Hazineden Alınanlar ve Prim Tahsilatları</t>
  </si>
  <si>
    <t>Tablo 15 - 2007 Yılı Hazineden Alınanlar ve Prim Tahsilatları</t>
  </si>
  <si>
    <r>
      <t xml:space="preserve">TABLO 17 - SSK Kapsamındaki Nüfus  </t>
    </r>
    <r>
      <rPr>
        <i/>
        <sz val="12"/>
        <color indexed="8"/>
        <rFont val="Times New Roman"/>
        <family val="1"/>
      </rPr>
      <t>(Population Under Coverage of SII)</t>
    </r>
  </si>
  <si>
    <t>Tablo 18 - Asgari Ücret- Asgari Emekli Aylığı</t>
  </si>
  <si>
    <t>Tablo 19- Tarım Sigortalıları</t>
  </si>
  <si>
    <t xml:space="preserve">Tablo 20 - İdari para cezaları  </t>
  </si>
  <si>
    <t>Tablo 21 - Prime Esas Kazanç Alt ve Üst Sınırları İle Asgari Ücret Tutarları (TL)</t>
  </si>
  <si>
    <t>Tablo 22 - Kurumumuzdan Aylık ve Gelir Alanların Sayısı</t>
  </si>
  <si>
    <t>Tablo 23 - Yıl İçinde Aylık ve Gelir Bağlananların Sayısı</t>
  </si>
  <si>
    <t>Tablo 25 - Kurumun Sağlık Ödemeleri</t>
  </si>
  <si>
    <t>Tablo 26 - Sağlık Ödemeleri</t>
  </si>
  <si>
    <t>Tablo 27 - Tedavi Faaliyetleri</t>
  </si>
  <si>
    <t>Tablo 28 - 2004 Yılı Sektörler İtibariyle Yatırım Programı</t>
  </si>
  <si>
    <t>Tablo 29 - 2005 Yılı Sektörler İtibariyle Yatırım Programı</t>
  </si>
  <si>
    <t>Tablo 30 - 2006 Yılı Sektörler İtibariyle Yatırım Programı</t>
  </si>
  <si>
    <t>Tablo 31 - İller İtibariyle İşyeri ve Sigortalı sayıları</t>
  </si>
  <si>
    <t>Tablo 32 - Faaliyet Gruplarında  İşyeri , Sigortalı sayıları ile Prime esas ortalama günlük kazançlar</t>
  </si>
  <si>
    <t>Tablo 33 - İller itibariyle aylık alanların tahsis türlerine göre dağılımı</t>
  </si>
  <si>
    <t>(5),(6)</t>
  </si>
  <si>
    <t>(31)</t>
  </si>
  <si>
    <t>(29),(30)</t>
  </si>
  <si>
    <t>(24)</t>
  </si>
  <si>
    <t>(22),(23)</t>
  </si>
  <si>
    <t>(212)</t>
  </si>
  <si>
    <t>(20)</t>
  </si>
  <si>
    <t>(18),(19)</t>
  </si>
  <si>
    <t>(17)</t>
  </si>
  <si>
    <t>(15),(16)</t>
  </si>
  <si>
    <t>(11),(12)</t>
  </si>
  <si>
    <t>(7)</t>
  </si>
  <si>
    <r>
      <t xml:space="preserve">Aylar İtibariyle 2007  Yılında Hazineden Yapılan Transferler ve Prim Tahsilatları                                                            </t>
    </r>
    <r>
      <rPr>
        <i/>
        <sz val="10"/>
        <color indexed="8"/>
        <rFont val="Times New Roman"/>
        <family val="1"/>
      </rPr>
      <t xml:space="preserve">  (Milyar TL.)(Milyon $)</t>
    </r>
  </si>
  <si>
    <t>(28)</t>
  </si>
  <si>
    <t>(33)</t>
  </si>
  <si>
    <t>2007 YILI HAZİNEDEN YAPILAN TRANSFERLER VE PRİM TAHSİLATLARI</t>
  </si>
  <si>
    <t>NOT:3-) Diğer sağlık ödemeleri içerisinde Sağlık İl Müdürlükleri personel ve idame gideri ödemeleri dahildir.</t>
  </si>
  <si>
    <t>2007 OCAK -HAZİRAN(****) (YTL.)</t>
  </si>
  <si>
    <t>(***) Emeklilerimize %5 lük ocak ayı artışı ile birlikte  %4 lük de vergi iade artışı dahildir.</t>
  </si>
  <si>
    <t>YTL</t>
  </si>
  <si>
    <t>Yıllar</t>
  </si>
  <si>
    <t>Oran</t>
  </si>
  <si>
    <t>T.C</t>
  </si>
  <si>
    <r>
      <t xml:space="preserve">( Aylık İstatistik Bültenimizdeki bilgilere </t>
    </r>
    <r>
      <rPr>
        <b/>
        <i/>
        <sz val="14"/>
        <rFont val="Arial Tur"/>
        <family val="0"/>
      </rPr>
      <t>www.ssk.gov.tr</t>
    </r>
    <r>
      <rPr>
        <i/>
        <sz val="11"/>
        <rFont val="Arial Tur"/>
        <family val="0"/>
      </rPr>
      <t xml:space="preserve"> internet adresindeki istatistikler bölümünden ulaşabilirsiniz )</t>
    </r>
  </si>
  <si>
    <t>Aktif Pasif Oranı ( * )</t>
  </si>
  <si>
    <t>(*)   Zorunlu sigortalı, isteğe bağlı, çırak, topluluk ve tarım sigortalılarının emekli sayısına bölümü ile bulunmuştur.</t>
  </si>
  <si>
    <r>
      <t>•</t>
    </r>
    <r>
      <rPr>
        <b/>
        <sz val="9"/>
        <color indexed="8"/>
        <rFont val="Times New Roman"/>
        <family val="1"/>
      </rPr>
      <t>TOPLAM</t>
    </r>
  </si>
  <si>
    <r>
      <t xml:space="preserve">Ölüm Aylığı Al. </t>
    </r>
    <r>
      <rPr>
        <i/>
        <sz val="10"/>
        <color indexed="8"/>
        <rFont val="Times New Roman"/>
        <family val="1"/>
      </rPr>
      <t xml:space="preserve"> (Kişi)</t>
    </r>
  </si>
  <si>
    <r>
      <t xml:space="preserve">İşkazası ve Mes. Hast. Sonucu Ölüm Haksah. </t>
    </r>
    <r>
      <rPr>
        <i/>
        <sz val="10"/>
        <color indexed="8"/>
        <rFont val="Times New Roman"/>
        <family val="1"/>
      </rPr>
      <t>( Kişi )</t>
    </r>
  </si>
  <si>
    <t>KADRO</t>
  </si>
  <si>
    <t>ÇALIŞAN</t>
  </si>
  <si>
    <t>MEMUR</t>
  </si>
  <si>
    <t>İŞÇİ</t>
  </si>
  <si>
    <t>SÖZLEŞMELİ</t>
  </si>
  <si>
    <t>TOPLAM</t>
  </si>
  <si>
    <r>
      <t xml:space="preserve">Tablo 2 - </t>
    </r>
    <r>
      <rPr>
        <sz val="12"/>
        <rFont val="Times New Roman"/>
        <family val="1"/>
      </rPr>
      <t>Personel Dağılımı</t>
    </r>
  </si>
  <si>
    <t>Tablo 3 - Merkez Teşkilatı Personel Durumu</t>
  </si>
  <si>
    <t>BAŞKANLIK</t>
  </si>
  <si>
    <t>SİGORTA İŞL.GEN.MÜD.</t>
  </si>
  <si>
    <t>SAĞLIK İŞL.GEN.MÜD.</t>
  </si>
  <si>
    <r>
      <t>MERKEZ  TEŞKİLATI  PERSONEL  DURUMU</t>
    </r>
    <r>
      <rPr>
        <sz val="12"/>
        <rFont val="Times New Roman"/>
        <family val="1"/>
      </rPr>
      <t xml:space="preserve"> </t>
    </r>
    <r>
      <rPr>
        <i/>
        <sz val="12"/>
        <rFont val="Times New Roman"/>
        <family val="1"/>
      </rPr>
      <t>( Personnel Sıtuatıon Of Central Organization )</t>
    </r>
  </si>
  <si>
    <r>
      <t xml:space="preserve">Tablo 4 - </t>
    </r>
    <r>
      <rPr>
        <sz val="12"/>
        <rFont val="Times New Roman"/>
        <family val="1"/>
      </rPr>
      <t>Taşra Teşkilatı Personel Durumu</t>
    </r>
  </si>
  <si>
    <t>SİGORTA TESİSLERİ</t>
  </si>
  <si>
    <t>SAĞLIK TESİSLERİ</t>
  </si>
  <si>
    <r>
      <t>DİĞER GELİRLER</t>
    </r>
    <r>
      <rPr>
        <i/>
        <sz val="10"/>
        <rFont val="Times New Roman"/>
        <family val="1"/>
      </rPr>
      <t xml:space="preserve">                     ( Other Incomes )</t>
    </r>
  </si>
  <si>
    <r>
      <t xml:space="preserve">GİDERLER   TOPLAMI                                            </t>
    </r>
    <r>
      <rPr>
        <i/>
        <sz val="10"/>
        <rFont val="Times New Roman"/>
        <family val="1"/>
      </rPr>
      <t>( Total Expenditures )</t>
    </r>
  </si>
  <si>
    <r>
      <t xml:space="preserve">ÖDEMELER AÇIĞI                                            </t>
    </r>
    <r>
      <rPr>
        <i/>
        <sz val="10"/>
        <rFont val="Times New Roman"/>
        <family val="1"/>
      </rPr>
      <t>( Deficit of Payments )</t>
    </r>
  </si>
  <si>
    <r>
      <t xml:space="preserve">GELİRLER  TOPLAMI                                                                         </t>
    </r>
    <r>
      <rPr>
        <i/>
        <sz val="10"/>
        <rFont val="Times New Roman"/>
        <family val="1"/>
      </rPr>
      <t>( Total Revenue )</t>
    </r>
  </si>
  <si>
    <r>
      <t xml:space="preserve">8,5     </t>
    </r>
    <r>
      <rPr>
        <b/>
        <sz val="14"/>
        <rFont val="Times New Roman"/>
        <family val="1"/>
      </rPr>
      <t>Katrilyon TL</t>
    </r>
  </si>
  <si>
    <r>
      <t xml:space="preserve">18,8     </t>
    </r>
    <r>
      <rPr>
        <b/>
        <sz val="14"/>
        <rFont val="Times New Roman"/>
        <family val="1"/>
      </rPr>
      <t>Katrilyon TL</t>
    </r>
  </si>
  <si>
    <r>
      <t xml:space="preserve">13,5   </t>
    </r>
    <r>
      <rPr>
        <b/>
        <sz val="14"/>
        <rFont val="Times New Roman"/>
        <family val="1"/>
      </rPr>
      <t xml:space="preserve">  Katrilyon TL</t>
    </r>
  </si>
  <si>
    <r>
      <t xml:space="preserve">22,6     </t>
    </r>
    <r>
      <rPr>
        <b/>
        <sz val="14"/>
        <rFont val="Times New Roman"/>
        <family val="1"/>
      </rPr>
      <t>Katrilyon TL</t>
    </r>
  </si>
  <si>
    <r>
      <t xml:space="preserve">35,9     </t>
    </r>
    <r>
      <rPr>
        <b/>
        <sz val="14"/>
        <rFont val="Times New Roman"/>
        <family val="1"/>
      </rPr>
      <t>Katrilyon TL</t>
    </r>
  </si>
  <si>
    <r>
      <t xml:space="preserve">2006 YILI BÜTÇE </t>
    </r>
    <r>
      <rPr>
        <sz val="10"/>
        <rFont val="Times New Roman"/>
        <family val="1"/>
      </rPr>
      <t xml:space="preserve">                         </t>
    </r>
    <r>
      <rPr>
        <i/>
        <sz val="10"/>
        <rFont val="Times New Roman"/>
        <family val="1"/>
      </rPr>
      <t xml:space="preserve">    ( Budget in 2006 )</t>
    </r>
  </si>
  <si>
    <t>Milyar TL</t>
  </si>
  <si>
    <t xml:space="preserve"> </t>
  </si>
  <si>
    <t>(TAHSİLAT VE HARCAMA YÖNÜNDEN)</t>
  </si>
  <si>
    <t>Açık</t>
  </si>
  <si>
    <t>Açık(*)</t>
  </si>
  <si>
    <t>PRİM TAHSİLATI (Premium</t>
  </si>
  <si>
    <t>DİĞER GELİRLER (Other Revenues)</t>
  </si>
  <si>
    <t>2006(Tah.)</t>
  </si>
  <si>
    <t>2004(**)</t>
  </si>
  <si>
    <t>2005(***)</t>
  </si>
  <si>
    <t>YILLAR</t>
  </si>
  <si>
    <t>BAĞ - KUR</t>
  </si>
  <si>
    <t xml:space="preserve"> EMEKLİ SANDIĞI</t>
  </si>
  <si>
    <t>SSK (*)</t>
  </si>
  <si>
    <t>BÜTÇE HARCAMALARI İÇİNDEKİ ORANI(%)</t>
  </si>
  <si>
    <t>GSMH İÇİNDEKİ ORANI(%)</t>
  </si>
  <si>
    <t>GSMH</t>
  </si>
  <si>
    <t>MİLYAR TL.</t>
  </si>
  <si>
    <t>BÜTÇE HARCA</t>
  </si>
  <si>
    <t>2005(**)</t>
  </si>
  <si>
    <t xml:space="preserve">    (Buget Transfers to SII, institution of insured, self-the pension employedn fund of the republic)</t>
  </si>
  <si>
    <t>OCAK</t>
  </si>
  <si>
    <t>ŞUBAT</t>
  </si>
  <si>
    <t>MART</t>
  </si>
  <si>
    <t>NİSAN</t>
  </si>
  <si>
    <t>MAYIS</t>
  </si>
  <si>
    <t>HAZİRAN</t>
  </si>
  <si>
    <t>TEMMUZ</t>
  </si>
  <si>
    <t>AĞUSTOS</t>
  </si>
  <si>
    <t>EYLÜL</t>
  </si>
  <si>
    <t>EKİM</t>
  </si>
  <si>
    <t>KASIM</t>
  </si>
  <si>
    <t>ARALIK</t>
  </si>
  <si>
    <t>AYLAR</t>
  </si>
  <si>
    <t>PRİM GELİRLERİ</t>
  </si>
  <si>
    <t>EMEKLİ ÖDEMELERİ</t>
  </si>
  <si>
    <t xml:space="preserve">NİSAN </t>
  </si>
  <si>
    <t>T O P L A M</t>
  </si>
  <si>
    <t>Hazine Yardımı</t>
  </si>
  <si>
    <t>Bağ-Kur Adına Al.</t>
  </si>
  <si>
    <t>ARTIŞ ORANI %</t>
  </si>
  <si>
    <t>-</t>
  </si>
  <si>
    <t xml:space="preserve"> (MİLYON $)</t>
  </si>
  <si>
    <t>TAHAKKUK</t>
  </si>
  <si>
    <t>TAHSİLAT</t>
  </si>
  <si>
    <t>HAZİNE YARDIMLARI</t>
  </si>
  <si>
    <t>PRİM GELİRLERİ , EMEKLİ ÖDEMELERİ VE HAZİNE YARDIMLARI</t>
  </si>
  <si>
    <t>Prim Tahsilatı</t>
  </si>
  <si>
    <t>Toplam Hazineden Yapılan Transferler</t>
  </si>
  <si>
    <t xml:space="preserve"> (Premium Incomes , Payments of Pensions and Treasury Transfers ) </t>
  </si>
  <si>
    <t>2005 YILI HAZİNEDEN YAPILAN TRANSFERLER VE PRİM TAHSİLATLARI</t>
  </si>
  <si>
    <t>NOT:1-2003 YILI PRİM TAHSİLATI ÇALIŞMA RAPORU KİTABIMIZDA 12.745,0 TRİLYON TL.,NAKİT AKIM TABLOSUNDA İSE  13.613,0 TRİLYON TL.DİR. 868,0 TRİLYON TL.FARK İLE ,.2004 YILINDA Kİ ÇALIŞMA RAPORU KİTABIMIZDA 16.967,5 TİRİLYON TL..NAKİT AKIM TABLOSUNDA İSE 17.397,0 TRİLYON TL.'DİR 429,5 TRİLYON TL FARK İSE HER İKİ  YILDA YAPILAN TAKSİTLENDİRMEDENDİR.</t>
  </si>
  <si>
    <r>
      <t xml:space="preserve">PRİM GELİRLERİ   </t>
    </r>
    <r>
      <rPr>
        <i/>
        <sz val="10"/>
        <rFont val="Times New Roman"/>
        <family val="1"/>
      </rPr>
      <t xml:space="preserve"> (TRİLYON TL)</t>
    </r>
  </si>
  <si>
    <r>
      <t xml:space="preserve"> </t>
    </r>
    <r>
      <rPr>
        <i/>
        <sz val="9"/>
        <color indexed="8"/>
        <rFont val="Times New Roman"/>
        <family val="1"/>
      </rPr>
      <t xml:space="preserve"> (MİLYAR  TL.)</t>
    </r>
  </si>
  <si>
    <t>TAHSİLAT ORANI %</t>
  </si>
  <si>
    <r>
      <t xml:space="preserve">EMEKLİ ÖDEME TUTARI </t>
    </r>
    <r>
      <rPr>
        <i/>
        <sz val="9"/>
        <rFont val="Times New Roman"/>
        <family val="1"/>
      </rPr>
      <t>( SYZ Dahil ) ( Trilyon TL )</t>
    </r>
  </si>
  <si>
    <t xml:space="preserve"> 2005 YILI </t>
  </si>
  <si>
    <t xml:space="preserve"> 2006 YILI </t>
  </si>
  <si>
    <t>PRİM GELİRLERİNİN EMEKLİ ÖDEMELERİNİ KARŞILAMA ORANI (%)</t>
  </si>
  <si>
    <t>Tablo 12 - 2005 Yılı Hazineden Alınanlar ve Prim Tahsilatları</t>
  </si>
  <si>
    <t>Milyar TL.</t>
  </si>
  <si>
    <t>(Milyon $)</t>
  </si>
  <si>
    <t>2006 YILI HAZİNEDEN YAPILAN TRANSFERLER VE PRİM TAHSİLATLARI</t>
  </si>
  <si>
    <t>Tablo 14 - 2006 Yılı Hazineden Alınanlar ve Prim Tahsilatları</t>
  </si>
  <si>
    <t>Ek Ödeme</t>
  </si>
  <si>
    <t>Çıraklar</t>
  </si>
  <si>
    <t>Topluluk</t>
  </si>
  <si>
    <t>Tarım</t>
  </si>
  <si>
    <t>Emekli Sayısı</t>
  </si>
  <si>
    <t>Aile Bireyleri</t>
  </si>
  <si>
    <t>Kapsamdaki Toplam Nüfus</t>
  </si>
  <si>
    <t>•AİLE FERDİ</t>
  </si>
  <si>
    <t>UYGULAMA TARİHİ</t>
  </si>
  <si>
    <t>ALT SINIR</t>
  </si>
  <si>
    <t>ÜST SINIR</t>
  </si>
  <si>
    <t>01.04.2001-31.3.2002</t>
  </si>
  <si>
    <t>GÜNLÜK</t>
  </si>
  <si>
    <t>AYLIK</t>
  </si>
  <si>
    <t>01.04.2002-30.6.2002</t>
  </si>
  <si>
    <t>01.07.2002-31.3.2003</t>
  </si>
  <si>
    <t>TAHSİS TÜRLERİ</t>
  </si>
  <si>
    <t>Yaşlılık Aylığı Alanlar</t>
  </si>
  <si>
    <t>Ölüm Aylığı Alanlar</t>
  </si>
  <si>
    <t>Malüllük Aylığı Alanlar</t>
  </si>
  <si>
    <t>İşkazası ve Mes. Hast. Sonucu Ölüm Haksahipleri</t>
  </si>
  <si>
    <t>Compulsory Insured</t>
  </si>
  <si>
    <t>Apprenticies</t>
  </si>
  <si>
    <t>Voluntarily Insured</t>
  </si>
  <si>
    <t>Dependents</t>
  </si>
  <si>
    <t>Cellective Insurance</t>
  </si>
  <si>
    <t>Insured in Agricultural Sector</t>
  </si>
  <si>
    <t>N'of Pensioners</t>
  </si>
  <si>
    <t>Total Population Group Covered by SII</t>
  </si>
  <si>
    <t>Sigortalı</t>
  </si>
  <si>
    <t xml:space="preserve">Total Insured </t>
  </si>
  <si>
    <t>YIL İÇİNDE AYLIK VE GELİR BAĞLANANLARIN SAYISI</t>
  </si>
  <si>
    <t>*</t>
  </si>
  <si>
    <t>İŞYERİNİ BİLDİRMEYEN</t>
  </si>
  <si>
    <t>SİGORTALIYI BİLDİRMEYEN</t>
  </si>
  <si>
    <t>BİLDİRGE VERMEYEN</t>
  </si>
  <si>
    <t>VİZİTE KAĞIDININ VERİLMEMESİ</t>
  </si>
  <si>
    <t>01.04.2003-30.06.2003</t>
  </si>
  <si>
    <t xml:space="preserve">• TARIM SİG. SAYISI                 </t>
  </si>
  <si>
    <t>01.04.2002-30.06.2002</t>
  </si>
  <si>
    <t>01.07.2002-31.03.2003</t>
  </si>
  <si>
    <t>Sürekli İşgör.Geliri Al.</t>
  </si>
  <si>
    <t>01.01.2000 -31.03.2000</t>
  </si>
  <si>
    <t xml:space="preserve">4447 sayılı kanun öncesi </t>
  </si>
  <si>
    <t>•BRÜT</t>
  </si>
  <si>
    <t>•NET</t>
  </si>
  <si>
    <t>•AYLIĞI</t>
  </si>
  <si>
    <t>ASGARİ ÜCRET-ASGARİ EMEKLİ AYLIĞI</t>
  </si>
  <si>
    <t>UYGULAMA TARİHLERİ</t>
  </si>
  <si>
    <t>01.04.2000-31.07.2000</t>
  </si>
  <si>
    <t>01.08.2000-31.3.2001</t>
  </si>
  <si>
    <t>2002 YILI</t>
  </si>
  <si>
    <t>Bilanço esasına göre defter tutmak zorunda olanlar</t>
  </si>
  <si>
    <t>Diğer defter tutmak zorunda olanlar</t>
  </si>
  <si>
    <t>Defter tutmakla yükümlü olmayanlar</t>
  </si>
  <si>
    <t>Sigortalıyı Bildirmeyen</t>
  </si>
  <si>
    <t>Sigortalıyı Bildirmeyen(Çalışma izninin olmaması durumunda)</t>
  </si>
  <si>
    <t>Asıl nitelikte olması halinde belgede kayıtlı sigortalı başına</t>
  </si>
  <si>
    <t>Ek belge niteliğinde olması halinde sigortalı sayısına bakılmaksızın</t>
  </si>
  <si>
    <t>Hiç belge vermeyenlere ise sigortalı sayısına bakılmaksızın her ay için</t>
  </si>
  <si>
    <t xml:space="preserve">BELGE İBRAZ ETMEYEN </t>
  </si>
  <si>
    <t>Bilanço esasına göre defter tutmakla yükümlü iseler</t>
  </si>
  <si>
    <t>Diğer defter tutmakla yükümlü iseler</t>
  </si>
  <si>
    <t>Diğer defter tutmakla yükümlü değil iseler</t>
  </si>
  <si>
    <t xml:space="preserve">BELGENİN İŞÇİLER TARAFINDAN DA GÖRÜLEBİLECEK BİR YERE ASILMAMASI HALİNDE </t>
  </si>
  <si>
    <t xml:space="preserve">ASGARİ ÜCRET  :  </t>
  </si>
  <si>
    <t>Asgari Ücretin 3 katı</t>
  </si>
  <si>
    <t>Asgari Ücretin 2 katı</t>
  </si>
  <si>
    <t>Asgari Ücret  Tutarında</t>
  </si>
  <si>
    <t>Asgari Ücretin 1/5  Tutarında</t>
  </si>
  <si>
    <t>Asgari Ücretin 1/8  Tutarında</t>
  </si>
  <si>
    <t>Asgari Ücretin 12 katı</t>
  </si>
  <si>
    <t>Asgari Ücretin 6 katı</t>
  </si>
  <si>
    <t>01.07.2003-31.12.2003</t>
  </si>
  <si>
    <t xml:space="preserve"> TOPLAM İÇİNDEKİ ORANI %</t>
  </si>
  <si>
    <t>2003 YILI</t>
  </si>
  <si>
    <t>01.01.2004-30.06.2004</t>
  </si>
  <si>
    <t>01.07.2004-31.12.2004</t>
  </si>
  <si>
    <t xml:space="preserve"> İBRAZ EDİLEN BELGELERİN YÖNETMELİKLE BELİRLENEN USUL VE ESASLARA  UYGUN OLMAMASI HALİNDE </t>
  </si>
  <si>
    <t>Asgari Ücretin 1/2 katı</t>
  </si>
  <si>
    <t xml:space="preserve">veya kazançları Kuruma bildirilmediği veya eksik bildirildiği sigortalılarla ilgili </t>
  </si>
  <si>
    <t>düzenlenip düzenlenmediğine bakılmaksızın</t>
  </si>
  <si>
    <t xml:space="preserve">olması halinde,belgenin asıl veya ek nitelikte olup olmadığına, işverence </t>
  </si>
  <si>
    <t xml:space="preserve">Sigorta Müfettişi Tarafından veya Serbest Muhasebeci Mali Müşavir ve </t>
  </si>
  <si>
    <t xml:space="preserve">Yeminli Mali Müşavirlerce Düzenlenen Raporlara istinaden Kuruma </t>
  </si>
  <si>
    <t>bildirilmediği tespit edilen eksik işçilik tutarının mal edildiği adaylardan dolayı</t>
  </si>
  <si>
    <t xml:space="preserve">Belgenin Mahkeme Kararı ile veya Denetim Elemanlarınca yapılan tespitler </t>
  </si>
  <si>
    <t>sonucunda ya da Kamu Kurum ve Kuruluşları tarafından düzenlenen belgelerden hizmetleri</t>
  </si>
  <si>
    <t>(488,70 YTL.)</t>
  </si>
  <si>
    <t>01.01.2005-31.12.2005</t>
  </si>
  <si>
    <t>YTL.</t>
  </si>
  <si>
    <t>(16,29 YTL.)</t>
  </si>
  <si>
    <t>(105,89 YTL.)</t>
  </si>
  <si>
    <t>(3.176,70 YTL.)</t>
  </si>
  <si>
    <t>ASGARİ ÜCRET</t>
  </si>
  <si>
    <t>01.07.2000-31.12.2000</t>
  </si>
  <si>
    <t>01.01.2001-30.06.2001</t>
  </si>
  <si>
    <t>01.01.2000 -30.06.2000</t>
  </si>
  <si>
    <t>01.07.2001-31.07.2001</t>
  </si>
  <si>
    <t>01.08.2001-31.12.2001</t>
  </si>
  <si>
    <t>01.01.2002-30.06.2002</t>
  </si>
  <si>
    <t>01.07.2002-31.12.2002</t>
  </si>
  <si>
    <t>01.01.2003-31.12.2003</t>
  </si>
  <si>
    <t>Malullük Aylığı Al.</t>
  </si>
  <si>
    <t>Yaşlılık Aylığı Al.</t>
  </si>
  <si>
    <t>2004 YILI</t>
  </si>
  <si>
    <t>01.01.2006-31.12.2006</t>
  </si>
  <si>
    <t xml:space="preserve">AYLAR </t>
  </si>
  <si>
    <t xml:space="preserve">             2000   OCAK </t>
  </si>
  <si>
    <t xml:space="preserve">                        ARALIK </t>
  </si>
  <si>
    <t xml:space="preserve">                       ARALIK</t>
  </si>
  <si>
    <t>2002 OCAK</t>
  </si>
  <si>
    <t xml:space="preserve">      ŞUBAT</t>
  </si>
  <si>
    <t xml:space="preserve">      MART</t>
  </si>
  <si>
    <t xml:space="preserve">      NİSAN</t>
  </si>
  <si>
    <t xml:space="preserve">      MAYIS</t>
  </si>
  <si>
    <t xml:space="preserve">           HAZİRAN</t>
  </si>
  <si>
    <t xml:space="preserve">           TEMMUZ</t>
  </si>
  <si>
    <t xml:space="preserve">            AĞUSTOS</t>
  </si>
  <si>
    <t xml:space="preserve">      EYLÜL</t>
  </si>
  <si>
    <t xml:space="preserve">   EKİM</t>
  </si>
  <si>
    <t xml:space="preserve">     KASIM</t>
  </si>
  <si>
    <t xml:space="preserve">       ARALIK</t>
  </si>
  <si>
    <t>POLİKLİNİK SAYISI</t>
  </si>
  <si>
    <t>YATAN HASTA SAYISI</t>
  </si>
  <si>
    <t>YATAK- GÜN SAYISI</t>
  </si>
  <si>
    <t>AMELİYAT SAYISI</t>
  </si>
  <si>
    <t>DOĞUM SAYISI</t>
  </si>
  <si>
    <t>REÇETE SAYISI</t>
  </si>
  <si>
    <t>TABELA SAYISI</t>
  </si>
  <si>
    <t>DIŞARIDAN SATIN ALINAN HİZMET</t>
  </si>
  <si>
    <t>DIŞARIDAN SATIN ALINAN HİZMETİN  TOPLAM İÇİNDEKİ ORANI(%)</t>
  </si>
  <si>
    <t>748.699,5</t>
  </si>
  <si>
    <t>Toplam</t>
  </si>
  <si>
    <t>2003 OCAK</t>
  </si>
  <si>
    <t>(Sosyal Destek Ödemesi)</t>
  </si>
  <si>
    <t>KURUM ECZANELERİ</t>
  </si>
  <si>
    <t>ANLAŞMALI ECZANELER</t>
  </si>
  <si>
    <t>(MİLYAR TL)</t>
  </si>
  <si>
    <t xml:space="preserve">    2003  HAZİRAN</t>
  </si>
  <si>
    <t xml:space="preserve">    2003  TEMMUZ</t>
  </si>
  <si>
    <t xml:space="preserve">    2003  AĞUSTOS</t>
  </si>
  <si>
    <t>SSK Finansman, Aktüerya ve Planlama Daire Başkanlığı(Devredilen) tarafından hazırlanmıştır.</t>
  </si>
  <si>
    <r>
      <t xml:space="preserve">AYLIK İSTATİSTİK BÜLTENİ     </t>
    </r>
    <r>
      <rPr>
        <i/>
        <sz val="26"/>
        <color indexed="18"/>
        <rFont val="Times New Roman"/>
        <family val="1"/>
      </rPr>
      <t xml:space="preserve">         </t>
    </r>
    <r>
      <rPr>
        <i/>
        <sz val="26"/>
        <color indexed="10"/>
        <rFont val="Times New Roman"/>
        <family val="1"/>
      </rPr>
      <t xml:space="preserve">  (TEMMUZ 2007 )</t>
    </r>
  </si>
  <si>
    <t>Personel Dağılımı (31.07.2007 Tarihi İtibariyle)</t>
  </si>
  <si>
    <t>Merkez Teşkilatı Personel Durumu  ( 31.07.2007 Tarihi İtibariyle )</t>
  </si>
  <si>
    <t>Taşra Teşkilatı Personel Durumu ( 31.07.2007 Tarihi İtibariyle )</t>
  </si>
  <si>
    <t>Faaliyet Gruplarında İller İtibariyle İşyeri ve Sigortalı Sayıları ile prime esas ortalama günlük kazançlar (Haziran 2007)</t>
  </si>
  <si>
    <t>İller itibariyle aylık alanların tahsis türlerine göre dağılımı (Haziran 2007)</t>
  </si>
  <si>
    <t>( 31.07.2007 Tarihi İtibariyle )</t>
  </si>
  <si>
    <t xml:space="preserve">    2003  EYLÜL</t>
  </si>
  <si>
    <t xml:space="preserve">    2003  EKİM</t>
  </si>
  <si>
    <t>İLAÇ KUTU SAYISI(*)</t>
  </si>
  <si>
    <t>İLAÇ ÇEŞİDİ SAYISI(**)</t>
  </si>
  <si>
    <t>(*) Ayakta tedavi edilen hastalara verilen ilaç sayısını göstermektedir.</t>
  </si>
  <si>
    <t>(**) Yatarak tedavi edilen hastalara verilen ilaç sayısını göstermektedir.</t>
  </si>
  <si>
    <t xml:space="preserve">    2003  KASIM</t>
  </si>
  <si>
    <t xml:space="preserve">    2003  ARALIK</t>
  </si>
  <si>
    <t xml:space="preserve">2004 OCAK </t>
  </si>
  <si>
    <t>TÜFE  (% )</t>
  </si>
  <si>
    <t xml:space="preserve"> ARALIK </t>
  </si>
  <si>
    <t>TOPLAM(**)</t>
  </si>
  <si>
    <t xml:space="preserve">2005 OCAK </t>
  </si>
  <si>
    <t>2005(*)</t>
  </si>
  <si>
    <t>(**) Emeklilerimize %3 lük ocak ayı artışı ile birlikte  %4 lük de vergi iade artışı verilmiştir.</t>
  </si>
  <si>
    <r>
      <t>ASGARİ AYLIK</t>
    </r>
    <r>
      <rPr>
        <sz val="10"/>
        <rFont val="Times New Roman"/>
        <family val="1"/>
      </rPr>
      <t xml:space="preserve"> </t>
    </r>
  </si>
  <si>
    <r>
      <t>Toplam artış oranı</t>
    </r>
    <r>
      <rPr>
        <sz val="10"/>
        <rFont val="Times New Roman"/>
        <family val="1"/>
      </rPr>
      <t xml:space="preserve"> </t>
    </r>
  </si>
  <si>
    <r>
      <t xml:space="preserve">             2001   OCAK</t>
    </r>
    <r>
      <rPr>
        <sz val="10"/>
        <rFont val="Times New Roman"/>
        <family val="1"/>
      </rPr>
      <t xml:space="preserve"> </t>
    </r>
  </si>
  <si>
    <t xml:space="preserve">2004 YILI SEKTÖRLER İTİBARİYLE YATIRIM PROGRAMI                             </t>
  </si>
  <si>
    <t>(ARALIK AYI İTİBARİYLE ) (Investment Program by the Sector in 2004)</t>
  </si>
  <si>
    <t>(Milyar TL)</t>
  </si>
  <si>
    <t>SEKTÖR</t>
  </si>
  <si>
    <t>İNŞAAT</t>
  </si>
  <si>
    <t>MAKİNA TEÇHİZAT  (Tıbbi Cihaz+Bilgisayar)</t>
  </si>
  <si>
    <t>TAŞIT ALIMI</t>
  </si>
  <si>
    <t>HARCAMA</t>
  </si>
  <si>
    <t>ÖDENEK</t>
  </si>
  <si>
    <t>SAĞLIK</t>
  </si>
  <si>
    <t>85.684(*)</t>
  </si>
  <si>
    <t>DKH (TİCARET)</t>
  </si>
  <si>
    <t>15.545(**)</t>
  </si>
  <si>
    <t xml:space="preserve">2005 YILI SEKTÖRLER İTİBARİYLE YATIRIM PROGRAMI                             </t>
  </si>
  <si>
    <t xml:space="preserve"> (Investment Program by the Sector in 2005)</t>
  </si>
  <si>
    <t>BİLGİSAYAR ALIMI</t>
  </si>
  <si>
    <t>HARCAMA(*)</t>
  </si>
  <si>
    <t xml:space="preserve">2006 YILI SEKTÖRLER İTİBARİYLE YATIRIM PROGRAMI                             </t>
  </si>
  <si>
    <t xml:space="preserve"> (Investment Program by the Sector in 2006)</t>
  </si>
  <si>
    <t>(Bin YTL)</t>
  </si>
  <si>
    <t>(*) - Mevcut ödeneğine Kurum gelirlerinden ayrılan %10'luk kaynaktan Sağlık Sektörü Bilgisayar Alımı projesine  18.084 Milyar TL Bakan onayı ile ek ödenek tahsili yapılmıştır.</t>
  </si>
  <si>
    <t xml:space="preserve">   -DPT Müsteşarlığının 21.05.2004 tarih ve 298/861 sayılı yazıları ile sağlık sektörü Makine Teçhizat Alımı  projesinin ödeneğinden 4.096 Milyar TL  Sağlık Sektörü Bilgisayar alımı projesine aktarılmıştır.</t>
  </si>
  <si>
    <t>(**)- Mevcut ödeneğine Kurum gelirlerinden ayrılan %10'luk kaynaktan Ticaret Sektörü Bilgisayar Alımı projesine  9.045 Milyar TL Bakan onayı ile ek ödenek tahsisi yapılmıştır.</t>
  </si>
  <si>
    <r>
      <t xml:space="preserve">NOT:Yüksek Planlama Kurulunun 26.04.2005 tarih, 2005/16 ve Bakanlar Kurulunun 05.05.2005 tarih, 2005/8947 sayılı kararları ile  5283 sayılı Kanun uyarınca '' </t>
    </r>
    <r>
      <rPr>
        <b/>
        <sz val="10"/>
        <rFont val="Times New Roman"/>
        <family val="1"/>
      </rPr>
      <t>Bazı Kamu Kurum ve Kuruluşlarına ait Sağlık Birimlerinin Sağlık Bakanlığına Devredilmesine Dair</t>
    </r>
    <r>
      <rPr>
        <sz val="9"/>
        <rFont val="Times New Roman"/>
        <family val="1"/>
      </rPr>
      <t>'' Kanun çerçevesinde Sağlık Projeleri Sağlık Bakanlığına devredilmiştir. Yatırım Programı ile verilen ödenek 10.000.000.YTL olup, DPT Müsteşarlığınca inşaat projeleri için 12.220.000 YTL ve Bilgisayar Alımı için 5.000.000 YTL.olmak üzere  toplam 17.220.000.YTL. ek ödenek verilmiştir.</t>
    </r>
  </si>
  <si>
    <t xml:space="preserve">SİGORTA TEŞKİLATI </t>
  </si>
  <si>
    <t xml:space="preserve">DİĞER ÜNİTELER </t>
  </si>
  <si>
    <r>
      <t xml:space="preserve">Tablo 1 - Taşra Teşkilatı </t>
    </r>
    <r>
      <rPr>
        <i/>
        <sz val="12"/>
        <rFont val="Times New Roman"/>
        <family val="1"/>
      </rPr>
      <t>(Provincial Organizations)</t>
    </r>
  </si>
  <si>
    <r>
      <t xml:space="preserve">•      </t>
    </r>
    <r>
      <rPr>
        <b/>
        <sz val="12"/>
        <color indexed="8"/>
        <rFont val="Times New Roman"/>
        <family val="1"/>
      </rPr>
      <t xml:space="preserve">81       SİGORTA İL MÜDÜRLÜĞÜ </t>
    </r>
  </si>
  <si>
    <r>
      <t xml:space="preserve">•       </t>
    </r>
    <r>
      <rPr>
        <b/>
        <sz val="12"/>
        <color indexed="8"/>
        <rFont val="Times New Roman"/>
        <family val="1"/>
      </rPr>
      <t>15       SİGORTA ÖDEME BÜROSU</t>
    </r>
  </si>
  <si>
    <r>
      <t xml:space="preserve">•        </t>
    </r>
    <r>
      <rPr>
        <b/>
        <sz val="12"/>
        <color indexed="8"/>
        <rFont val="Times New Roman"/>
        <family val="1"/>
      </rPr>
      <t>16</t>
    </r>
    <r>
      <rPr>
        <sz val="12"/>
        <color indexed="8"/>
        <rFont val="Times New Roman"/>
        <family val="1"/>
      </rPr>
      <t xml:space="preserve">      </t>
    </r>
    <r>
      <rPr>
        <b/>
        <sz val="12"/>
        <color indexed="8"/>
        <rFont val="Times New Roman"/>
        <family val="1"/>
      </rPr>
      <t xml:space="preserve">SAĞLIK İŞLERİ İL MÜDÜRLÜĞÜ </t>
    </r>
  </si>
  <si>
    <r>
      <t xml:space="preserve">•           </t>
    </r>
    <r>
      <rPr>
        <b/>
        <sz val="12"/>
        <color indexed="8"/>
        <rFont val="Times New Roman"/>
        <family val="1"/>
      </rPr>
      <t xml:space="preserve">6     KREŞ VE GÜNDÜZ BAKIMEVİ </t>
    </r>
  </si>
  <si>
    <t>SOSYAL SİGORTALAR KURUMU ORGANİZASYON YAPISI</t>
  </si>
  <si>
    <r>
      <t>GENEL KURUL</t>
    </r>
    <r>
      <rPr>
        <b/>
        <sz val="7"/>
        <color indexed="60"/>
        <rFont val="Times New Roman"/>
        <family val="1"/>
      </rPr>
      <t xml:space="preserve"> </t>
    </r>
  </si>
  <si>
    <t>YÖNETİM KURULU</t>
  </si>
  <si>
    <r>
      <t>BAŞKAN</t>
    </r>
    <r>
      <rPr>
        <b/>
        <sz val="7"/>
        <color indexed="60"/>
        <rFont val="Times New Roman"/>
        <family val="1"/>
      </rPr>
      <t xml:space="preserve"> </t>
    </r>
  </si>
  <si>
    <t>FİNANS., AKTÜERYA VE PLANLAMA (D)</t>
  </si>
  <si>
    <t>TEFTİŞ KURULU (D)</t>
  </si>
  <si>
    <t>BİLGİ İŞLEM (D)</t>
  </si>
  <si>
    <t>HUKUK (D)</t>
  </si>
  <si>
    <t>MUHASEBE VE MALİ İŞLER (D)</t>
  </si>
  <si>
    <r>
      <t>SİGORTA TEFTİŞ</t>
    </r>
    <r>
      <rPr>
        <b/>
        <sz val="7"/>
        <color indexed="60"/>
        <rFont val="Times New Roman"/>
        <family val="1"/>
      </rPr>
      <t xml:space="preserve"> </t>
    </r>
    <r>
      <rPr>
        <sz val="7"/>
        <rFont val="Times New Roman"/>
        <family val="1"/>
      </rPr>
      <t>(D)</t>
    </r>
  </si>
  <si>
    <r>
      <t>SAVUNMA UZMANLIĞI</t>
    </r>
    <r>
      <rPr>
        <b/>
        <sz val="7"/>
        <color indexed="60"/>
        <rFont val="Times New Roman"/>
        <family val="1"/>
      </rPr>
      <t xml:space="preserve"> </t>
    </r>
    <r>
      <rPr>
        <sz val="7"/>
        <rFont val="Times New Roman"/>
        <family val="1"/>
      </rPr>
      <t>(D)</t>
    </r>
  </si>
  <si>
    <t xml:space="preserve">SSK SİGORTA İŞLERİ </t>
  </si>
  <si>
    <t xml:space="preserve">SSK SAĞLIK İŞLERİ </t>
  </si>
  <si>
    <t>GENEL MÜDÜRLÜĞÜ</t>
  </si>
  <si>
    <r>
      <t>PERSONEL VE EĞİTİM (Y)</t>
    </r>
    <r>
      <rPr>
        <b/>
        <sz val="7"/>
        <color indexed="60"/>
        <rFont val="Times New Roman"/>
        <family val="1"/>
      </rPr>
      <t xml:space="preserve"> </t>
    </r>
  </si>
  <si>
    <t>GENEL MÜDÜR</t>
  </si>
  <si>
    <t xml:space="preserve">PERSONEL EĞİTİM </t>
  </si>
  <si>
    <t>VE SOSYAL İŞLER (Y)</t>
  </si>
  <si>
    <t xml:space="preserve">GENEL MÜDÜR </t>
  </si>
  <si>
    <r>
      <t>YARDIMCISI</t>
    </r>
    <r>
      <rPr>
        <b/>
        <sz val="7"/>
        <color indexed="60"/>
        <rFont val="Times New Roman"/>
        <family val="1"/>
      </rPr>
      <t xml:space="preserve"> </t>
    </r>
  </si>
  <si>
    <t xml:space="preserve">SİGORTA PRİMLERİ (A) </t>
  </si>
  <si>
    <r>
      <t>DESTEK HİZMETLERİ  (Y)</t>
    </r>
    <r>
      <rPr>
        <b/>
        <sz val="7"/>
        <color indexed="60"/>
        <rFont val="Times New Roman"/>
        <family val="1"/>
      </rPr>
      <t xml:space="preserve"> </t>
    </r>
  </si>
  <si>
    <t>EMLAK (Y)</t>
  </si>
  <si>
    <t xml:space="preserve">TEDAVİ HİZ. </t>
  </si>
  <si>
    <t>İLAÇ VE ECZACILIK (A)</t>
  </si>
  <si>
    <r>
      <t xml:space="preserve"> </t>
    </r>
    <r>
      <rPr>
        <b/>
        <sz val="7"/>
        <color indexed="60"/>
        <rFont val="Times New Roman"/>
        <family val="1"/>
      </rPr>
      <t xml:space="preserve"> </t>
    </r>
  </si>
  <si>
    <t>İNŞAAT (Y)</t>
  </si>
  <si>
    <t xml:space="preserve">VE MALÜLİYET  (A) </t>
  </si>
  <si>
    <t>TAHSİSLER  (A)</t>
  </si>
  <si>
    <t xml:space="preserve">  KISA VADELİ  </t>
  </si>
  <si>
    <t>MALZEME SATINALMA</t>
  </si>
  <si>
    <r>
      <t>SİGORTALAR (A)</t>
    </r>
    <r>
      <rPr>
        <b/>
        <sz val="7"/>
        <color indexed="60"/>
        <rFont val="Times New Roman"/>
        <family val="1"/>
      </rPr>
      <t xml:space="preserve"> </t>
    </r>
  </si>
  <si>
    <r>
      <t xml:space="preserve"> VE İDARİ İŞLER (Y)</t>
    </r>
    <r>
      <rPr>
        <b/>
        <sz val="7"/>
        <color indexed="60"/>
        <rFont val="Times New Roman"/>
        <family val="1"/>
      </rPr>
      <t xml:space="preserve"> </t>
    </r>
  </si>
  <si>
    <t xml:space="preserve">YURTDIŞI İŞÇİ </t>
  </si>
  <si>
    <t xml:space="preserve">SAĞLIK HİZ. SATIN </t>
  </si>
  <si>
    <t>HİZMETLERİ (A)</t>
  </si>
  <si>
    <r>
      <t xml:space="preserve"> ALMA (A)</t>
    </r>
    <r>
      <rPr>
        <b/>
        <sz val="7"/>
        <color indexed="60"/>
        <rFont val="Times New Roman"/>
        <family val="1"/>
      </rPr>
      <t xml:space="preserve"> </t>
    </r>
  </si>
  <si>
    <t>TAŞRA TEŞKİLATI</t>
  </si>
  <si>
    <r>
      <t>(A)</t>
    </r>
    <r>
      <rPr>
        <sz val="10"/>
        <rFont val="Times New Roman"/>
        <family val="1"/>
      </rPr>
      <t xml:space="preserve"> Ana Hizmet Birimi</t>
    </r>
  </si>
  <si>
    <r>
      <t>(D)</t>
    </r>
    <r>
      <rPr>
        <sz val="10"/>
        <rFont val="Times New Roman"/>
        <family val="1"/>
      </rPr>
      <t xml:space="preserve"> Denetim, Danışma veya Destek  Hizmet Birimi</t>
    </r>
  </si>
  <si>
    <r>
      <t>(Y)</t>
    </r>
    <r>
      <rPr>
        <sz val="10"/>
        <rFont val="Times New Roman"/>
        <family val="1"/>
      </rPr>
      <t xml:space="preserve"> Yardımcı Hizmet Birimi</t>
    </r>
  </si>
  <si>
    <t>İÇİNDEKİLER</t>
  </si>
  <si>
    <t>Sayfa No</t>
  </si>
  <si>
    <t>Tablo No</t>
  </si>
  <si>
    <t>Organizasyon Şeması</t>
  </si>
  <si>
    <t xml:space="preserve">Taşra Teşkilatı </t>
  </si>
  <si>
    <t>(1)</t>
  </si>
  <si>
    <t>(2)</t>
  </si>
  <si>
    <t>(3)</t>
  </si>
  <si>
    <t>(4)</t>
  </si>
  <si>
    <t>Sosyal Sigortalar Kurumu  Bütçesi</t>
  </si>
  <si>
    <t>(8)</t>
  </si>
  <si>
    <t>(9)</t>
  </si>
  <si>
    <t>(10)</t>
  </si>
  <si>
    <t>SSK Kapsamındaki Nüfus / Aktif- Pasif Oranı</t>
  </si>
  <si>
    <t>Asgari Ücret ve Tarım Sigortalıları</t>
  </si>
  <si>
    <t>İdari Para Cezaları</t>
  </si>
  <si>
    <t>Kurumumuzdan Aylık ve Gelir Alanların Sayısı</t>
  </si>
  <si>
    <t>(25)</t>
  </si>
  <si>
    <t xml:space="preserve">2005 ve 2006 Yılları Sektörler İtibariyle Yatırım Programı </t>
  </si>
  <si>
    <r>
      <t xml:space="preserve">SSK,Bağ-Kur ve Emekli Sandığına Yapılan Bütçe Transferleri </t>
    </r>
    <r>
      <rPr>
        <i/>
        <sz val="10"/>
        <color indexed="8"/>
        <rFont val="Times New Roman"/>
        <family val="1"/>
      </rPr>
      <t>(Milyar TL.)</t>
    </r>
  </si>
  <si>
    <r>
      <t>Yıllar İtibariyle Prim Gelirleri, Emekli Ödemeleri ve Hazine Yardımları</t>
    </r>
    <r>
      <rPr>
        <i/>
        <sz val="10"/>
        <color indexed="8"/>
        <rFont val="Times New Roman"/>
        <family val="1"/>
      </rPr>
      <t xml:space="preserve"> (Trilyon TL.)</t>
    </r>
  </si>
  <si>
    <r>
      <t xml:space="preserve">Aylar İtibariyle2005-2006 Yıllarına Ait Prim Gelirleri ve Emekli Ödemeleri </t>
    </r>
    <r>
      <rPr>
        <i/>
        <sz val="10"/>
        <color indexed="8"/>
        <rFont val="Times New Roman"/>
        <family val="1"/>
      </rPr>
      <t xml:space="preserve"> (Milyar TL.)</t>
    </r>
  </si>
  <si>
    <r>
      <t xml:space="preserve">Aylar İtibariyle 2005 Yılında Hazineden Yapılan Transferler ve Prim Tahsilatları    </t>
    </r>
    <r>
      <rPr>
        <i/>
        <sz val="10"/>
        <color indexed="8"/>
        <rFont val="Times New Roman"/>
        <family val="1"/>
      </rPr>
      <t xml:space="preserve">                                                                    (Milyar TL.)(Milyon $)</t>
    </r>
  </si>
  <si>
    <r>
      <t xml:space="preserve">Aylar İtibariyle 2006 Yılında Hazineden Yapılan Transferler ve Prim Tahsilatları                                                            </t>
    </r>
    <r>
      <rPr>
        <i/>
        <sz val="10"/>
        <color indexed="8"/>
        <rFont val="Times New Roman"/>
        <family val="1"/>
      </rPr>
      <t xml:space="preserve">  (Milyar TL.)(Milyon $)</t>
    </r>
  </si>
  <si>
    <r>
      <t xml:space="preserve">Kurumun Sağlık Giderleri </t>
    </r>
    <r>
      <rPr>
        <i/>
        <sz val="10"/>
        <color indexed="8"/>
        <rFont val="Times New Roman"/>
        <family val="1"/>
      </rPr>
      <t xml:space="preserve"> (Milyar TL.)</t>
    </r>
  </si>
  <si>
    <r>
      <t xml:space="preserve">2004 Yılı Sektörler İtibariyle Yatırım Harcamaları  </t>
    </r>
    <r>
      <rPr>
        <i/>
        <sz val="10"/>
        <color indexed="8"/>
        <rFont val="Times New Roman"/>
        <family val="1"/>
      </rPr>
      <t>(Aralık Sonu)</t>
    </r>
    <r>
      <rPr>
        <b/>
        <sz val="10"/>
        <color indexed="8"/>
        <rFont val="Times New Roman"/>
        <family val="1"/>
      </rPr>
      <t xml:space="preserve"> </t>
    </r>
  </si>
  <si>
    <r>
      <t xml:space="preserve">Kurumun Ödemeler Dengesinin Yıllar İtibariyle Değişimi </t>
    </r>
    <r>
      <rPr>
        <i/>
        <sz val="10"/>
        <color indexed="8"/>
        <rFont val="Times New Roman"/>
        <family val="1"/>
      </rPr>
      <t>(Tahsilat ve Harcama Yönünden) (Milyar TL.)</t>
    </r>
  </si>
  <si>
    <t>Tedavi Faaliyetleri</t>
  </si>
  <si>
    <r>
      <t xml:space="preserve">Sağlık Harcamaları </t>
    </r>
    <r>
      <rPr>
        <i/>
        <sz val="10"/>
        <color indexed="8"/>
        <rFont val="Times New Roman"/>
        <family val="1"/>
      </rPr>
      <t xml:space="preserve"> (Milyar TL.) </t>
    </r>
  </si>
  <si>
    <t>(14),(15)</t>
  </si>
  <si>
    <t>(26)</t>
  </si>
  <si>
    <r>
      <t xml:space="preserve">PRİM GELİRLERİ                               </t>
    </r>
    <r>
      <rPr>
        <i/>
        <sz val="10"/>
        <rFont val="Times New Roman"/>
        <family val="1"/>
      </rPr>
      <t>( Tahsilat )                                 (  Premium Incomes )</t>
    </r>
  </si>
  <si>
    <r>
      <t xml:space="preserve">SAĞLIK TESİSİ GELİRLERİ                                                         </t>
    </r>
    <r>
      <rPr>
        <i/>
        <sz val="10"/>
        <rFont val="Times New Roman"/>
        <family val="1"/>
      </rPr>
      <t>( Health Facilities Revenue )</t>
    </r>
  </si>
  <si>
    <r>
      <t xml:space="preserve">SİGORTA GİDERLERİ       </t>
    </r>
    <r>
      <rPr>
        <i/>
        <sz val="10"/>
        <rFont val="Times New Roman"/>
        <family val="1"/>
      </rPr>
      <t xml:space="preserve">                                                      (  Insurance Expenditures )</t>
    </r>
  </si>
  <si>
    <r>
      <t>ORANI</t>
    </r>
    <r>
      <rPr>
        <i/>
        <sz val="10"/>
        <rFont val="Times New Roman"/>
        <family val="1"/>
      </rPr>
      <t xml:space="preserve">                                 ( Rate ) </t>
    </r>
    <r>
      <rPr>
        <sz val="10"/>
        <rFont val="Times New Roman"/>
        <family val="1"/>
      </rPr>
      <t>%</t>
    </r>
  </si>
  <si>
    <r>
      <t xml:space="preserve">SAĞLIK  GİDERLERİ                     </t>
    </r>
    <r>
      <rPr>
        <i/>
        <sz val="10"/>
        <rFont val="Times New Roman"/>
        <family val="1"/>
      </rPr>
      <t>( Health Expenditures  )</t>
    </r>
  </si>
  <si>
    <r>
      <t>DİĞER GİDERLER</t>
    </r>
    <r>
      <rPr>
        <i/>
        <sz val="10"/>
        <rFont val="Times New Roman"/>
        <family val="1"/>
      </rPr>
      <t xml:space="preserve">                               ( Other Expenditures )</t>
    </r>
  </si>
  <si>
    <r>
      <t xml:space="preserve">YATIRIMLAR                                     </t>
    </r>
    <r>
      <rPr>
        <i/>
        <sz val="10"/>
        <rFont val="Times New Roman"/>
        <family val="1"/>
      </rPr>
      <t>( Investments )</t>
    </r>
  </si>
  <si>
    <r>
      <t xml:space="preserve">TAŞRA TEŞKİLATI </t>
    </r>
    <r>
      <rPr>
        <i/>
        <sz val="14"/>
        <color indexed="12"/>
        <rFont val="Times New Roman"/>
        <family val="1"/>
      </rPr>
      <t>(Provincial Organizations)</t>
    </r>
  </si>
  <si>
    <r>
      <t>PERSONEL DAĞILIMI</t>
    </r>
    <r>
      <rPr>
        <sz val="14"/>
        <color indexed="12"/>
        <rFont val="Times New Roman"/>
        <family val="1"/>
      </rPr>
      <t xml:space="preserve"> </t>
    </r>
    <r>
      <rPr>
        <i/>
        <sz val="12"/>
        <color indexed="12"/>
        <rFont val="Times New Roman"/>
        <family val="1"/>
      </rPr>
      <t>( Distributions of Personnel )</t>
    </r>
  </si>
  <si>
    <r>
      <t xml:space="preserve">TAŞRA TEŞKİLATI PERSONEL DURUMU </t>
    </r>
    <r>
      <rPr>
        <i/>
        <sz val="12"/>
        <color indexed="12"/>
        <rFont val="Times New Roman"/>
        <family val="1"/>
      </rPr>
      <t>( Personnel Sitution Of Provincial Organization)</t>
    </r>
  </si>
  <si>
    <r>
      <t>MALİ DURUM</t>
    </r>
    <r>
      <rPr>
        <sz val="12"/>
        <color indexed="12"/>
        <rFont val="Times New Roman"/>
        <family val="1"/>
      </rPr>
      <t xml:space="preserve"> </t>
    </r>
    <r>
      <rPr>
        <i/>
        <sz val="12"/>
        <color indexed="12"/>
        <rFont val="Times New Roman"/>
        <family val="1"/>
      </rPr>
      <t>( Financial Situation )</t>
    </r>
  </si>
  <si>
    <r>
      <t xml:space="preserve">SSK, BAĞ-KUR VE EMEKLİ SANDIĞINA  YAPILAN BÜTÇE TRANSFERLERİ                                                          </t>
    </r>
    <r>
      <rPr>
        <i/>
        <sz val="11"/>
        <color indexed="12"/>
        <rFont val="Times New Roman"/>
        <family val="1"/>
      </rPr>
      <t>(Milyar TL.)</t>
    </r>
  </si>
  <si>
    <r>
      <t xml:space="preserve">                          PRİM GELİRLERİ VE EMEKLİ ÖDEMELERİ </t>
    </r>
    <r>
      <rPr>
        <i/>
        <sz val="12"/>
        <color indexed="12"/>
        <rFont val="Times New Roman"/>
        <family val="1"/>
      </rPr>
      <t>( Milyar TL.)</t>
    </r>
  </si>
  <si>
    <r>
      <t xml:space="preserve">SİGORTA HİZMETLERİ </t>
    </r>
    <r>
      <rPr>
        <i/>
        <sz val="12"/>
        <color indexed="12"/>
        <rFont val="Times New Roman"/>
        <family val="1"/>
      </rPr>
      <t>(Insurance Services)</t>
    </r>
  </si>
  <si>
    <r>
      <t xml:space="preserve">TARIM SİGORTALILARI </t>
    </r>
    <r>
      <rPr>
        <i/>
        <sz val="12"/>
        <color indexed="12"/>
        <rFont val="Times New Roman"/>
        <family val="1"/>
      </rPr>
      <t>(Insured Employed in Agricultural Sector)</t>
    </r>
  </si>
  <si>
    <r>
      <t xml:space="preserve">İDARİ PARA CEZALARI </t>
    </r>
    <r>
      <rPr>
        <i/>
        <sz val="12"/>
        <color indexed="12"/>
        <rFont val="Times New Roman"/>
        <family val="1"/>
      </rPr>
      <t>(Administrative Fine)</t>
    </r>
  </si>
  <si>
    <r>
      <t xml:space="preserve">PRİME ESAS KAZANÇ ALT VE ÜST SINIRLARI İLE ASGARİ ÜCRET TUTARLARI </t>
    </r>
    <r>
      <rPr>
        <i/>
        <sz val="12"/>
        <color indexed="12"/>
        <rFont val="Times New Roman"/>
        <family val="1"/>
      </rPr>
      <t>(TL.)               (Upper and Lower Levels Of Insurable Earnings,Amount of the monthly (daily) minimum wage)</t>
    </r>
  </si>
  <si>
    <r>
      <t xml:space="preserve">KURUMUMUZDAN AYLIK VE GELİR ALANLARIN SAYISI </t>
    </r>
    <r>
      <rPr>
        <i/>
        <sz val="12"/>
        <color indexed="12"/>
        <rFont val="Times New Roman"/>
        <family val="1"/>
      </rPr>
      <t>( Number Of Pensioners Covered by Sll )</t>
    </r>
  </si>
  <si>
    <r>
      <t xml:space="preserve">TEDAVİ FAALİYETLERİ </t>
    </r>
    <r>
      <rPr>
        <i/>
        <sz val="12"/>
        <color indexed="12"/>
        <rFont val="Times New Roman"/>
        <family val="1"/>
      </rPr>
      <t>(Medical Treatment Activity)</t>
    </r>
  </si>
  <si>
    <r>
      <t xml:space="preserve">KURUMUN ÖDEMELER DENGESİNİN YILLAR İTİBARİYLE GELİŞİMİ </t>
    </r>
    <r>
      <rPr>
        <i/>
        <sz val="10"/>
        <color indexed="12"/>
        <rFont val="Times New Roman"/>
        <family val="1"/>
      </rPr>
      <t>(Changes in Balance of Payments of SII by Year)</t>
    </r>
  </si>
  <si>
    <r>
      <t xml:space="preserve">YILLAR </t>
    </r>
    <r>
      <rPr>
        <i/>
        <sz val="9"/>
        <rFont val="Times New Roman"/>
        <family val="1"/>
      </rPr>
      <t>(Years)</t>
    </r>
  </si>
  <si>
    <r>
      <t xml:space="preserve">GELİRLER TOPLAMI </t>
    </r>
    <r>
      <rPr>
        <i/>
        <sz val="9"/>
        <rFont val="Times New Roman"/>
        <family val="1"/>
      </rPr>
      <t>(Total of Revenues)</t>
    </r>
  </si>
  <si>
    <r>
      <t xml:space="preserve">GİDERLER TOPLAMI </t>
    </r>
    <r>
      <rPr>
        <i/>
        <sz val="9"/>
        <rFont val="Times New Roman"/>
        <family val="1"/>
      </rPr>
      <t>(Total of Enpenditures)</t>
    </r>
  </si>
  <si>
    <r>
      <t xml:space="preserve">FARK </t>
    </r>
    <r>
      <rPr>
        <i/>
        <sz val="9"/>
        <rFont val="Times New Roman"/>
        <family val="1"/>
      </rPr>
      <t>(Deficit)</t>
    </r>
  </si>
  <si>
    <r>
      <t>(*)</t>
    </r>
    <r>
      <rPr>
        <sz val="8"/>
        <rFont val="Times New Roman"/>
        <family val="1"/>
      </rPr>
      <t>1989-1998 yılları gelir gider arasındaki fark, yıllık ortalama dolar kuru üzerinden  hesaplanırken,1999-2003 yılları arası her ayın sonundaki döviz alış kuru üzerinden hesaplanan birikimli rakamlardır.</t>
    </r>
  </si>
  <si>
    <r>
      <t xml:space="preserve">(**)    </t>
    </r>
    <r>
      <rPr>
        <sz val="8"/>
        <rFont val="Times New Roman"/>
        <family val="1"/>
      </rPr>
      <t>2004 yılı 12 aylık fiili  nakit akım tablosu rakamları olup bu rakamlar içerisinde emeklilere ödenen , ocak ve temmuz aylarında ki %10 luk artışlar dahildir</t>
    </r>
  </si>
  <si>
    <t>(*) 2003 yılında hazineden alınan toplam para 4.808.617 Milyar TL. olup, bundan 1.643.041 Milyar TL. 'si sosyal destek ödemesi, 4325 sayılı yasa gereğince mahsup yapılan 7.692,5 Milyar TL. düşülürse 3.157.883,5 Milyar TL.  SSK adına yapılan hazine yardımını buluruz. Bu yardımdan 300.000 Milyar TL. 2002 yılından devreden ilaç borcundan 7.692,5 Milyar TL. mahsup edildikten sonra geriye kalan 292.307,5 Milyar TL. ilaç borcunu düşersek asıl bütçe açığımız olan 2.865.576 Milyar TL.' yi, 2004 yılında hazineden alınan toplam para 5.757.000 Milyar TL. olup, bundan Tütünbank'ın kuruma devri nedeniyle oluşan ödemeler açığı tutarı olarak 592.153 Milyar TL. mahsup edildikten sonra 5.164.847 Milyar TL.,SSK adına yapılan hazine yardımını buluruz.</t>
  </si>
  <si>
    <t>(27)</t>
  </si>
  <si>
    <r>
      <t xml:space="preserve">2- ÇALIŞMA RAPORU KİTABIMIZDA YER ALAN EMEKLİ ÖDEMELERİ TUTARLARI SSK ADINA YAPILAN FİİLİ ÖDEMELERİ , NAKİT AKIM TABLOSUNDA Kİ EMEKLİ ÖDEMELERİ İSE MÜŞTEREK EMEKLİLİKTEN </t>
    </r>
    <r>
      <rPr>
        <b/>
        <i/>
        <sz val="8"/>
        <rFont val="Times New Roman"/>
        <family val="1"/>
      </rPr>
      <t>(BAĞ-KUR ,EMEKLİ SANDIĞI,EK 20.MD.SANDIKLARI)</t>
    </r>
    <r>
      <rPr>
        <b/>
        <sz val="8"/>
        <rFont val="Times New Roman"/>
        <family val="1"/>
      </rPr>
      <t xml:space="preserve"> YAPILAN ÖDEMELERİ DE KAPSADIĞINDAN FARKLILIK GÖSTERMEKTİR.</t>
    </r>
  </si>
  <si>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yapılmıştır. </t>
  </si>
  <si>
    <r>
      <t xml:space="preserve">(***)  </t>
    </r>
    <r>
      <rPr>
        <sz val="8"/>
        <rFont val="Times New Roman"/>
        <family val="1"/>
      </rPr>
      <t>2005 yılı ise 12 aylık fiili rakamlardır.2005 yılı gelir-gider farkı  7.507.267 Milyar TL.olması gerekirken , içinden 95.600 Milyar TL.. aralık ayından ocak ayına nakit devri çıkarılmıştır</t>
    </r>
  </si>
  <si>
    <t>SAĞLIK BAKANLIĞI İLE DİĞER SAĞLIK TESİSLERİ ÖDEMELERİ(***)</t>
  </si>
  <si>
    <t xml:space="preserve"> SAĞLIK BAKANLIĞI İLE DİĞER SAĞLIK TESİSLERİ ÖDEMELERİNİN TOPLAM İÇİNDEKİ ORANI(%)</t>
  </si>
  <si>
    <t xml:space="preserve">(*) - Kurumumuz 2006 Yılı Yatırm Programının uygulanması, Koordinasyonu ve izlenmesine Dair"2005/9486 sayılı Bakanlar Kurulu Kararının eki olarak 7 Ocak 2006 gün ve 26046 sayılı Resmi Gazetede yayımlanarak yürürlüğe girmiştir. </t>
  </si>
  <si>
    <t>TOPLAM SAĞLIK ÖDEMESİ(*)</t>
  </si>
  <si>
    <r>
      <t xml:space="preserve">SAĞLIK ÖDEMELERİ </t>
    </r>
    <r>
      <rPr>
        <i/>
        <sz val="11"/>
        <color indexed="12"/>
        <rFont val="Times New Roman"/>
        <family val="1"/>
      </rPr>
      <t>(MİLYAR TL) (Payment of Health)</t>
    </r>
  </si>
  <si>
    <t>İLAÇ ÖDEMESİ</t>
  </si>
  <si>
    <t>İLAÇ ÖDEMESİ ARTIŞ ORANI (%)</t>
  </si>
  <si>
    <t>SAĞLIK ÖDEMELERİ İÇİNDEKİ ORANI (%)</t>
  </si>
  <si>
    <t>İLAÇ ÖDEMELERİ</t>
  </si>
  <si>
    <t>(*)İlaç ödemeleri dahildir.</t>
  </si>
  <si>
    <t>DİĞER SAĞLIK  ÖDEMELERİ</t>
  </si>
  <si>
    <t>DİĞER SAĞLIK  ÖDEMELERİNİN TOPLAM İÇİNDEKİ ORANI(%)</t>
  </si>
  <si>
    <r>
      <t xml:space="preserve">KURUMUN SAĞLIK ÖDEMELERİ </t>
    </r>
    <r>
      <rPr>
        <i/>
        <sz val="11"/>
        <color indexed="12"/>
        <rFont val="Times New Roman"/>
        <family val="1"/>
      </rPr>
      <t>(MİLYAR TL) (Health Payment of SII)</t>
    </r>
  </si>
  <si>
    <t>2006 OCAK -HAZİRAN(**) (YTL.)</t>
  </si>
  <si>
    <t>KURUMUN SAĞLIK TESİSLERİ ÖDEMELERİ</t>
  </si>
  <si>
    <t>KURUM SAĞLIK TESİSLERİ ÖDEMELERİNİN TOPLAM İÇİNDEKİ ORANI(%)</t>
  </si>
  <si>
    <r>
      <t xml:space="preserve">30,3    </t>
    </r>
    <r>
      <rPr>
        <b/>
        <sz val="14"/>
        <rFont val="Times New Roman"/>
        <family val="1"/>
      </rPr>
      <t xml:space="preserve"> Katrilyon TL</t>
    </r>
  </si>
  <si>
    <t>(*) 2000 yılı öncesi emekli olan kişilerin asgari ve azami aylıkları katsayı ve gösterge sistemine göre belirlenirken ,2000 yılından sonra asgari  aylıklarımız kanuna göre güncellenmiş  olup azami aylıklarımız ise karma sisteme göre bağlanan azami aylıklarımızdır.</t>
  </si>
  <si>
    <t xml:space="preserve"> Mart ve daha önce yayımlanan aylık istatistik bültenlerindeki azami aylıklar 1999 yılı azami aylığının kanuna göre güncellenmiş aylığı göstermektedir.</t>
  </si>
  <si>
    <t xml:space="preserve">ARALIK </t>
  </si>
  <si>
    <t>AZAMİ AYLIK (*)</t>
  </si>
  <si>
    <t>Asgari Aylık Artış Oranı(%)</t>
  </si>
  <si>
    <t>Asgari Aylık Artış Oranı</t>
  </si>
  <si>
    <t xml:space="preserve">TÜFE  </t>
  </si>
  <si>
    <t>İL KODU</t>
  </si>
  <si>
    <t>01</t>
  </si>
  <si>
    <t>02</t>
  </si>
  <si>
    <t>04</t>
  </si>
  <si>
    <t>KOD NO</t>
  </si>
  <si>
    <t>ZORUNLU</t>
  </si>
  <si>
    <t xml:space="preserve">ORTALAMA </t>
  </si>
  <si>
    <t xml:space="preserve">FAALİYET GRUPLARI </t>
  </si>
  <si>
    <t>İŞYERİ SAYISI</t>
  </si>
  <si>
    <t>SİGORTALI SAYISI</t>
  </si>
  <si>
    <t>GÜNLÜK KAZANÇ</t>
  </si>
  <si>
    <t xml:space="preserve">  Branch of activities </t>
  </si>
  <si>
    <t>Number of</t>
  </si>
  <si>
    <t>Number of compulsory</t>
  </si>
  <si>
    <t>work places</t>
  </si>
  <si>
    <t>insured person</t>
  </si>
  <si>
    <t>Average daily earning</t>
  </si>
  <si>
    <t xml:space="preserve"> TARIM VE HAYVANCILIK</t>
  </si>
  <si>
    <t xml:space="preserve"> ORMANCILIK VE TOMRUKÇULUK</t>
  </si>
  <si>
    <t>BALIKÇILIK</t>
  </si>
  <si>
    <t xml:space="preserve"> KÖMÜR MADENCİLİĞİ</t>
  </si>
  <si>
    <t>KÖMÜRDEN GAYRİ MADENLER</t>
  </si>
  <si>
    <t xml:space="preserve"> HAM PETROL VE TABİ GAZ</t>
  </si>
  <si>
    <t xml:space="preserve"> TAŞ,KİL VE KUM OCAKLARI</t>
  </si>
  <si>
    <t xml:space="preserve"> DİĞER MADENLERİN İSTİHRACI</t>
  </si>
  <si>
    <t xml:space="preserve"> GIDA MADDELERİ SANAYİ</t>
  </si>
  <si>
    <t xml:space="preserve"> İÇKİ SANAYİİ</t>
  </si>
  <si>
    <t xml:space="preserve"> TÜTÜN SANAYİİ</t>
  </si>
  <si>
    <t xml:space="preserve"> DOKUMA SANAYİİ</t>
  </si>
  <si>
    <t>GİY.VE HAZ.DOK.EŞYA SANAYİİ</t>
  </si>
  <si>
    <t xml:space="preserve"> AĞAÇ VE MANTAR MAMÜLLERİ</t>
  </si>
  <si>
    <t xml:space="preserve"> MOBİLYA VE TESİSAT İMALATI</t>
  </si>
  <si>
    <t xml:space="preserve"> KAĞIT VE KAĞIT.EŞYA İMALATI</t>
  </si>
  <si>
    <t xml:space="preserve"> MATBAACILIK VE NEŞ. SANAYİİ</t>
  </si>
  <si>
    <t xml:space="preserve"> DERİ VE DERİDEN EŞYA  SANAYİİ</t>
  </si>
  <si>
    <t>KAUÇUK SANAYİİ</t>
  </si>
  <si>
    <t xml:space="preserve"> ECZA VE KİMYEVİ MAD.SANAYİİ</t>
  </si>
  <si>
    <t xml:space="preserve"> PETROL VE KÖMÜR MÜŞ. SANAYİİ</t>
  </si>
  <si>
    <t xml:space="preserve"> TAŞ,TOPRAK,KİL,KUM VS. İMA.</t>
  </si>
  <si>
    <t xml:space="preserve"> METAL.MÜTEA.ESAS ENDÜS.</t>
  </si>
  <si>
    <t xml:space="preserve"> METALDEN EŞ.İM.(Makina Hariç)</t>
  </si>
  <si>
    <t xml:space="preserve"> MAKİNA İM. VE TAMİRATI</t>
  </si>
  <si>
    <t xml:space="preserve"> ELEKT.MAK.CİHAZ MALZ.İMA.</t>
  </si>
  <si>
    <t>MÜNAKALE CİHAZLARI</t>
  </si>
  <si>
    <t xml:space="preserve"> DİĞER MUH.EŞYA İMALATI</t>
  </si>
  <si>
    <t xml:space="preserve"> İNŞAAT</t>
  </si>
  <si>
    <t xml:space="preserve"> ELEKT.H.GAZI VE BUH.ISIT.</t>
  </si>
  <si>
    <t xml:space="preserve"> SU VE SIHHİ TESİSLER</t>
  </si>
  <si>
    <t xml:space="preserve"> TOPTAN VE PERAKENDE TİC.</t>
  </si>
  <si>
    <t xml:space="preserve"> BANKALAR VE MALİ MÜESS.</t>
  </si>
  <si>
    <t xml:space="preserve"> SİGORTALAR</t>
  </si>
  <si>
    <t xml:space="preserve"> GAYRİMENKUL İŞLERİ</t>
  </si>
  <si>
    <t xml:space="preserve"> NAKLİYAT</t>
  </si>
  <si>
    <t xml:space="preserve"> ARDİYE VE ANTREPOLAR</t>
  </si>
  <si>
    <t xml:space="preserve"> MUHABERE HİZMETLERİ</t>
  </si>
  <si>
    <t xml:space="preserve"> DEVLET HİZMETLERİ</t>
  </si>
  <si>
    <t xml:space="preserve"> AMME HİZMETLERİ</t>
  </si>
  <si>
    <t xml:space="preserve"> HUKUK,TİC.VE TEKNİK HİZ.</t>
  </si>
  <si>
    <t xml:space="preserve"> EĞLENCE HİZMETLERİ</t>
  </si>
  <si>
    <t xml:space="preserve"> ŞAHSİ HİZMETLER</t>
  </si>
  <si>
    <t xml:space="preserve"> GENEL TOPLAM</t>
  </si>
  <si>
    <t xml:space="preserve">( Number of the work places and compulsory insured persons </t>
  </si>
  <si>
    <r>
      <t xml:space="preserve">   </t>
    </r>
    <r>
      <rPr>
        <b/>
        <sz val="9"/>
        <rFont val="Times New Roman"/>
        <family val="1"/>
      </rPr>
      <t xml:space="preserve"> DAİMİ</t>
    </r>
    <r>
      <rPr>
        <sz val="9"/>
        <rFont val="Times New Roman"/>
        <family val="1"/>
      </rPr>
      <t>-Permanent</t>
    </r>
  </si>
  <si>
    <r>
      <t xml:space="preserve">    </t>
    </r>
    <r>
      <rPr>
        <b/>
        <sz val="9"/>
        <rFont val="Times New Roman"/>
        <family val="1"/>
      </rPr>
      <t>MEVSİMLİK</t>
    </r>
    <r>
      <rPr>
        <sz val="9"/>
        <rFont val="Times New Roman"/>
        <family val="1"/>
      </rPr>
      <t>-Seasonal</t>
    </r>
  </si>
  <si>
    <r>
      <t xml:space="preserve">    </t>
    </r>
    <r>
      <rPr>
        <b/>
        <sz val="9"/>
        <rFont val="Times New Roman"/>
        <family val="1"/>
      </rPr>
      <t>KAMU</t>
    </r>
    <r>
      <rPr>
        <sz val="9"/>
        <rFont val="Times New Roman"/>
        <family val="1"/>
      </rPr>
      <t>-Public</t>
    </r>
  </si>
  <si>
    <r>
      <t xml:space="preserve">    </t>
    </r>
    <r>
      <rPr>
        <b/>
        <sz val="9"/>
        <rFont val="Times New Roman"/>
        <family val="1"/>
      </rPr>
      <t>ÖZEL</t>
    </r>
    <r>
      <rPr>
        <sz val="9"/>
        <rFont val="Times New Roman"/>
        <family val="1"/>
      </rPr>
      <t>-Private</t>
    </r>
  </si>
  <si>
    <r>
      <t xml:space="preserve">    </t>
    </r>
    <r>
      <rPr>
        <b/>
        <sz val="9"/>
        <rFont val="Times New Roman"/>
        <family val="1"/>
      </rPr>
      <t>ERKEK</t>
    </r>
    <r>
      <rPr>
        <sz val="9"/>
        <rFont val="Times New Roman"/>
        <family val="1"/>
      </rPr>
      <t>-Male</t>
    </r>
  </si>
  <si>
    <r>
      <t xml:space="preserve">    </t>
    </r>
    <r>
      <rPr>
        <b/>
        <sz val="9"/>
        <rFont val="Times New Roman"/>
        <family val="1"/>
      </rPr>
      <t>KADIN</t>
    </r>
    <r>
      <rPr>
        <sz val="9"/>
        <rFont val="Times New Roman"/>
        <family val="1"/>
      </rPr>
      <t>-Female</t>
    </r>
  </si>
  <si>
    <r>
      <t xml:space="preserve">   </t>
    </r>
    <r>
      <rPr>
        <b/>
        <sz val="9"/>
        <rFont val="Times New Roman"/>
        <family val="1"/>
      </rPr>
      <t xml:space="preserve"> TOPLAM</t>
    </r>
    <r>
      <rPr>
        <sz val="9"/>
        <rFont val="Times New Roman"/>
        <family val="1"/>
      </rPr>
      <t>-Total</t>
    </r>
  </si>
  <si>
    <t>( Number of the work places, compulsory insured persons and average daily insurable  earnings</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</si>
  <si>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yapılmaktadır. </t>
  </si>
  <si>
    <t>(*) IV.Dönem (Yıl Sonu Kesin )gerçekleşme durumudur.</t>
  </si>
  <si>
    <t>2005 YILI</t>
  </si>
  <si>
    <t xml:space="preserve"> (2005 Yılsonu  itibariyle)</t>
  </si>
  <si>
    <t>EYLÜL   (*)</t>
  </si>
  <si>
    <t>Bin YTL.</t>
  </si>
  <si>
    <t>(Bin $)</t>
  </si>
  <si>
    <t>(*) Eylül ayı hazine yardımı 785.000 Bin YTL.olarak gerçekleşmiş,ancak bu miktarın 4.000 Bin YTL'sı Kurumun önceki yıllardan doğan çeşitli yükümlülükleri nedeniyle Maliye Bakanlığı tarafından geri alınmıştır..</t>
  </si>
  <si>
    <r>
      <t xml:space="preserve">YILLIK ORT. DOLAR KURU ÜZERİNDEN FARK (MİLYON $) </t>
    </r>
    <r>
      <rPr>
        <i/>
        <sz val="9"/>
        <rFont val="Times New Roman"/>
        <family val="1"/>
      </rPr>
      <t>(Deficit Based On Annual Average Exchange of Dollars)</t>
    </r>
    <r>
      <rPr>
        <b/>
        <i/>
        <sz val="9"/>
        <rFont val="Times New Roman"/>
        <family val="1"/>
      </rPr>
      <t>(*)</t>
    </r>
  </si>
  <si>
    <t>2006 TEMMUZ-ARALIK(***)(YTL.)</t>
  </si>
  <si>
    <r>
      <t xml:space="preserve">2006 YILI REVİZE BÜTÇE </t>
    </r>
    <r>
      <rPr>
        <sz val="10"/>
        <rFont val="Times New Roman"/>
        <family val="1"/>
      </rPr>
      <t xml:space="preserve">                         </t>
    </r>
    <r>
      <rPr>
        <i/>
        <sz val="10"/>
        <rFont val="Times New Roman"/>
        <family val="1"/>
      </rPr>
      <t xml:space="preserve">    ( Reserve Budget in 2006 )</t>
    </r>
  </si>
  <si>
    <t xml:space="preserve">TARIM SİGORTALISI  BAŞINA AYLIK PRİM TUTARI   </t>
  </si>
  <si>
    <t>İLLER</t>
  </si>
  <si>
    <t>Provinces</t>
  </si>
  <si>
    <t xml:space="preserve"> ( YTL. )</t>
  </si>
  <si>
    <t xml:space="preserve">Average daily earning </t>
  </si>
  <si>
    <t>01-ADANA</t>
  </si>
  <si>
    <r>
      <t xml:space="preserve">   </t>
    </r>
    <r>
      <rPr>
        <b/>
        <sz val="9"/>
        <rFont val="Arial"/>
        <family val="2"/>
      </rPr>
      <t xml:space="preserve"> DAİMİ</t>
    </r>
    <r>
      <rPr>
        <sz val="9"/>
        <rFont val="Arial"/>
        <family val="2"/>
      </rPr>
      <t>-Permanent</t>
    </r>
  </si>
  <si>
    <r>
      <t xml:space="preserve">    </t>
    </r>
    <r>
      <rPr>
        <b/>
        <sz val="9"/>
        <rFont val="Arial"/>
        <family val="2"/>
      </rPr>
      <t>MEVSİMLİK</t>
    </r>
    <r>
      <rPr>
        <sz val="9"/>
        <rFont val="Arial"/>
        <family val="2"/>
      </rPr>
      <t>-Seasonal</t>
    </r>
  </si>
  <si>
    <r>
      <t xml:space="preserve">    </t>
    </r>
    <r>
      <rPr>
        <b/>
        <sz val="9"/>
        <rFont val="Arial"/>
        <family val="2"/>
      </rPr>
      <t>KAMU</t>
    </r>
    <r>
      <rPr>
        <sz val="9"/>
        <rFont val="Arial"/>
        <family val="2"/>
      </rPr>
      <t>-Public</t>
    </r>
  </si>
  <si>
    <r>
      <t xml:space="preserve">    </t>
    </r>
    <r>
      <rPr>
        <b/>
        <sz val="9"/>
        <rFont val="Arial"/>
        <family val="2"/>
      </rPr>
      <t>ÖZEL</t>
    </r>
    <r>
      <rPr>
        <sz val="9"/>
        <rFont val="Arial"/>
        <family val="2"/>
      </rPr>
      <t>-Private</t>
    </r>
  </si>
  <si>
    <r>
      <t xml:space="preserve">    </t>
    </r>
    <r>
      <rPr>
        <b/>
        <sz val="9"/>
        <rFont val="Arial"/>
        <family val="2"/>
      </rPr>
      <t>ERKEK</t>
    </r>
    <r>
      <rPr>
        <sz val="9"/>
        <rFont val="Arial"/>
        <family val="2"/>
      </rPr>
      <t>-Male</t>
    </r>
  </si>
  <si>
    <r>
      <t xml:space="preserve">    </t>
    </r>
    <r>
      <rPr>
        <b/>
        <sz val="9"/>
        <rFont val="Arial"/>
        <family val="2"/>
      </rPr>
      <t>KADIN</t>
    </r>
    <r>
      <rPr>
        <sz val="9"/>
        <rFont val="Arial"/>
        <family val="2"/>
      </rPr>
      <t>-Female</t>
    </r>
  </si>
  <si>
    <t xml:space="preserve">    TOPLAM-Total</t>
  </si>
  <si>
    <t>02-ADIYAMAN</t>
  </si>
  <si>
    <r>
      <t xml:space="preserve">   </t>
    </r>
    <r>
      <rPr>
        <b/>
        <sz val="9"/>
        <rFont val="Arial"/>
        <family val="2"/>
      </rPr>
      <t xml:space="preserve"> TOPLAM</t>
    </r>
    <r>
      <rPr>
        <sz val="9"/>
        <rFont val="Arial"/>
        <family val="2"/>
      </rPr>
      <t>-Total</t>
    </r>
  </si>
  <si>
    <t>03-AFYONKARAHİSAR</t>
  </si>
  <si>
    <t>04-AĞRI</t>
  </si>
  <si>
    <t>05-AMASYA</t>
  </si>
  <si>
    <t>06-ANKARA</t>
  </si>
  <si>
    <t>07-ANTALYA</t>
  </si>
  <si>
    <t>08-ARTVİN</t>
  </si>
  <si>
    <t>09-AYDIN</t>
  </si>
  <si>
    <t>10-BALIKESİR</t>
  </si>
  <si>
    <t>11-BİLECİK</t>
  </si>
  <si>
    <t>12-BİNGÖL</t>
  </si>
  <si>
    <t>13-BİTLİS</t>
  </si>
  <si>
    <t>14-BOLU</t>
  </si>
  <si>
    <t>15-BURDUR</t>
  </si>
  <si>
    <t>16-BURSA</t>
  </si>
  <si>
    <t>17- ÇANAKKALE</t>
  </si>
  <si>
    <t>18-ÇANKIRI</t>
  </si>
  <si>
    <t>19-ÇORUM</t>
  </si>
  <si>
    <t>20 -DENİZLİ</t>
  </si>
  <si>
    <t>21-DİYARBAKIR</t>
  </si>
  <si>
    <t>22-EDİRNE</t>
  </si>
  <si>
    <t>23-ELAZIĞ</t>
  </si>
  <si>
    <t>24-ERZİNCAN</t>
  </si>
  <si>
    <t>25-ERZURUM</t>
  </si>
  <si>
    <t>27-GAZİANTEP</t>
  </si>
  <si>
    <t>28-GİRESUN</t>
  </si>
  <si>
    <t>29-GÜMÜŞHANE</t>
  </si>
  <si>
    <t>30-HAKKARİ</t>
  </si>
  <si>
    <t>31-HATAY</t>
  </si>
  <si>
    <t>32-ISPARTA</t>
  </si>
  <si>
    <t>33-MERSİN</t>
  </si>
  <si>
    <t>34-İSTANBUL</t>
  </si>
  <si>
    <t>35-İZMİR</t>
  </si>
  <si>
    <t>36-KARS</t>
  </si>
  <si>
    <t>37-KASTAMONU</t>
  </si>
  <si>
    <t>38-KAYSERİ</t>
  </si>
  <si>
    <t>39-KIRKLARELİ</t>
  </si>
  <si>
    <t>40-KIRŞEHİR</t>
  </si>
  <si>
    <t>41-KOCAELİ</t>
  </si>
  <si>
    <t>42-KONYA</t>
  </si>
  <si>
    <t>43-KÜTAHYA</t>
  </si>
  <si>
    <t>44-MALATYA</t>
  </si>
  <si>
    <t>45-MANİSA</t>
  </si>
  <si>
    <t>46-KAHRAMANMARAŞ</t>
  </si>
  <si>
    <t>47-MARDİN</t>
  </si>
  <si>
    <t>48-MUĞLA</t>
  </si>
  <si>
    <t>49-MUŞ</t>
  </si>
  <si>
    <t>50-NEVŞEHİR</t>
  </si>
  <si>
    <t>51-NİĞDE</t>
  </si>
  <si>
    <t>52-ORDU</t>
  </si>
  <si>
    <t>53-RİZE</t>
  </si>
  <si>
    <t>54-SAKARYA</t>
  </si>
  <si>
    <t>55-SAMSUN</t>
  </si>
  <si>
    <t>56-SİİRT</t>
  </si>
  <si>
    <t>57-SİNOP</t>
  </si>
  <si>
    <t>58-SİVAS</t>
  </si>
  <si>
    <t>59-TEKİRDAĞ</t>
  </si>
  <si>
    <t>60-TOKAT</t>
  </si>
  <si>
    <t>61-TRABZON</t>
  </si>
  <si>
    <t>62-TUNCELİ</t>
  </si>
  <si>
    <t>63-ŞANLIURFA</t>
  </si>
  <si>
    <t>64-UŞAK</t>
  </si>
  <si>
    <t>65-VAN</t>
  </si>
  <si>
    <t>66-YOZGAT</t>
  </si>
  <si>
    <t>67-ZONGULDAK</t>
  </si>
  <si>
    <t>68-AKSARAY</t>
  </si>
  <si>
    <t>69-BAYBURT</t>
  </si>
  <si>
    <t>70-KARAMAN</t>
  </si>
  <si>
    <t>71-KIRIKKALE</t>
  </si>
  <si>
    <t>72-BATMAN</t>
  </si>
  <si>
    <t>73-ŞIRNAK</t>
  </si>
  <si>
    <t>74-BARTIN</t>
  </si>
  <si>
    <t>75-ARDAHAN</t>
  </si>
  <si>
    <t>76-IĞDIR</t>
  </si>
  <si>
    <t>77-YALOVA</t>
  </si>
  <si>
    <t>78-KARABÜK</t>
  </si>
  <si>
    <t>79-KİLİS</t>
  </si>
  <si>
    <t>80-OSMANİYE</t>
  </si>
  <si>
    <t>81-DÜZCE</t>
  </si>
  <si>
    <t>26-ESKİŞEHİR</t>
  </si>
  <si>
    <t xml:space="preserve"> SAYILARININ İLLERE  GÖRE DAĞILIMI</t>
  </si>
  <si>
    <t xml:space="preserve">MALULLÜK-YAŞLILIK-ÖLÜM SİGORTASI                                                                                  </t>
  </si>
  <si>
    <t xml:space="preserve">İŞ.KAZ.İLE MESLEK HASTALIĞI SİGORTASI                                                                                  </t>
  </si>
  <si>
    <t>İnvalidity, old-age and survivors insurances</t>
  </si>
  <si>
    <t>Employment injuries and occupational diseases insurances</t>
  </si>
  <si>
    <t>SÜREKLİ İŞ GÖREMEZLİK GELİRİ ALANLAR</t>
  </si>
  <si>
    <t>İnvalidity pensioners</t>
  </si>
  <si>
    <t>Old-age pensioners</t>
  </si>
  <si>
    <t>Those receiving permanent incapacity income</t>
  </si>
  <si>
    <t xml:space="preserve"> Total</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</si>
  <si>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</si>
  <si>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</si>
  <si>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</si>
  <si>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</si>
  <si>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</si>
  <si>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</si>
  <si>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</si>
  <si>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</si>
  <si>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</si>
  <si>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</si>
  <si>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</si>
  <si>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</si>
  <si>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</si>
  <si>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</si>
  <si>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</si>
  <si>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</si>
  <si>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</si>
  <si>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</si>
  <si>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</si>
  <si>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</si>
  <si>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</si>
  <si>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</si>
  <si>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</si>
  <si>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</si>
  <si>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</si>
  <si>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</si>
  <si>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</si>
  <si>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</si>
  <si>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</si>
  <si>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</si>
  <si>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</si>
  <si>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</si>
  <si>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</si>
  <si>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</si>
  <si>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</si>
  <si>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</si>
  <si>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</si>
  <si>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</si>
  <si>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</si>
  <si>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</si>
  <si>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</si>
  <si>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</si>
  <si>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</si>
  <si>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</si>
  <si>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</si>
  <si>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</si>
  <si>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</si>
  <si>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</si>
  <si>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</si>
  <si>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</si>
  <si>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</si>
  <si>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</si>
  <si>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</si>
  <si>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</si>
  <si>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</si>
  <si>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</si>
  <si>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</si>
  <si>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</si>
  <si>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</si>
  <si>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</si>
  <si>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</si>
  <si>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</si>
  <si>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</si>
  <si>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</si>
  <si>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</si>
  <si>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</si>
  <si>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</si>
  <si>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</si>
  <si>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</si>
  <si>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</si>
  <si>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</si>
  <si>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</si>
  <si>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</si>
  <si>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</si>
  <si>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</si>
  <si>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</si>
  <si>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</si>
  <si>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</si>
  <si>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</si>
  <si>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</si>
  <si>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</si>
  <si>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</si>
  <si>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</si>
  <si>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</si>
  <si>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</si>
  <si>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</si>
  <si>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</si>
  <si>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KIBRIS</t>
  </si>
  <si>
    <t>ÖLÜM GELİRİ ALANLAR</t>
  </si>
  <si>
    <t>Survivors receiving income</t>
  </si>
  <si>
    <t>Survivors receiving pension</t>
  </si>
  <si>
    <t>(32)</t>
  </si>
  <si>
    <t xml:space="preserve">  (YTL. )</t>
  </si>
  <si>
    <t>(ARALIK SONU İTİBARİYLE )</t>
  </si>
  <si>
    <r>
      <t xml:space="preserve">•          </t>
    </r>
    <r>
      <rPr>
        <b/>
        <sz val="12"/>
        <color indexed="8"/>
        <rFont val="Times New Roman"/>
        <family val="1"/>
      </rPr>
      <t xml:space="preserve">1      HUZUREVİ  MÜDÜRLÜĞÜ  </t>
    </r>
  </si>
  <si>
    <t>(**)  2005 yılı ise 12 aylık fiili nakit akım tablosu rakamlardır.2005 yılı hazineden alınan toplam para  7.507.267Milyar TL.dir.,  Bu paranın içinde 95.600 Milyar TL.. aralık ayından ocak ayına nakit devri dahil olup bu miktar mahsup edildikten sonra 7.411.667 Milyar TL.olan hazine yardımını buluruz.</t>
  </si>
  <si>
    <t>SOSYAL SİGORTALAR KURUMU BAŞKANLIĞI</t>
  </si>
  <si>
    <t>17,70 YTL.</t>
  </si>
  <si>
    <t>531,00 YTL.</t>
  </si>
  <si>
    <t>115,05 YTL.</t>
  </si>
  <si>
    <t>3.451,50 YTL.</t>
  </si>
  <si>
    <t>18,75 YTL.</t>
  </si>
  <si>
    <t>121,88 YTL.</t>
  </si>
  <si>
    <t>01.01.2007-30.06.2007</t>
  </si>
  <si>
    <t>3.656,25 YTL.</t>
  </si>
  <si>
    <t>2007(****)</t>
  </si>
  <si>
    <t>2007(Tahmini)</t>
  </si>
  <si>
    <t>79,65 YTL.</t>
  </si>
  <si>
    <t>84,38 YTL.</t>
  </si>
  <si>
    <t>562 ,50YTL.</t>
  </si>
  <si>
    <t>BİN YTL.</t>
  </si>
  <si>
    <t>(**) İlaç giderleri dahildir.</t>
  </si>
  <si>
    <r>
      <t xml:space="preserve">Prime Esas Kazanç Alt ve Üst Sınırları </t>
    </r>
    <r>
      <rPr>
        <i/>
        <sz val="10"/>
        <color indexed="8"/>
        <rFont val="Times New Roman"/>
        <family val="1"/>
      </rPr>
      <t xml:space="preserve"> </t>
    </r>
  </si>
  <si>
    <r>
      <t xml:space="preserve">Emekli Aylık Seviyeleri </t>
    </r>
    <r>
      <rPr>
        <i/>
        <sz val="10"/>
        <color indexed="8"/>
        <rFont val="Times New Roman"/>
        <family val="1"/>
      </rPr>
      <t xml:space="preserve">  (SYZ Dahil)</t>
    </r>
  </si>
  <si>
    <t xml:space="preserve"> 2007 YILI </t>
  </si>
  <si>
    <r>
      <t>•  18</t>
    </r>
    <r>
      <rPr>
        <b/>
        <sz val="12"/>
        <color indexed="8"/>
        <rFont val="Times New Roman"/>
        <family val="1"/>
      </rPr>
      <t xml:space="preserve">    SİGORTA MÜDÜRLÜĞÜ </t>
    </r>
    <r>
      <rPr>
        <i/>
        <sz val="12"/>
        <color indexed="8"/>
        <rFont val="Times New Roman"/>
        <family val="1"/>
      </rPr>
      <t>(Henüz faaliyete geçmeyen izmir  ve Ümraniye sig.müd.dahil değildir.)</t>
    </r>
  </si>
  <si>
    <t>Tablo 16 - 2007 Yılı Hazineden Alınanlar ve Prim Tahsilatları</t>
  </si>
  <si>
    <t>PRİM GELİRLERİNİN EMEKLİ ÖDEMELERİNİ KARŞILAMA ORANI                                 (%)</t>
  </si>
  <si>
    <t>PRİM GELİRLERİNİN EMEKLİ ÖDEMELERİNİ KARŞILAMA ORANI                   (%)</t>
  </si>
  <si>
    <t xml:space="preserve">EYLÜL  </t>
  </si>
  <si>
    <t xml:space="preserve">EYLÜL   </t>
  </si>
  <si>
    <r>
      <t>TOPLAM-</t>
    </r>
    <r>
      <rPr>
        <sz val="9.5"/>
        <color indexed="8"/>
        <rFont val="Times New Roman"/>
        <family val="1"/>
      </rPr>
      <t>Total</t>
    </r>
  </si>
  <si>
    <t>2006(Tahmini)                                  ( Bin YTL )</t>
  </si>
  <si>
    <t>2007(Tahmini)                                  ( Bin YTL )</t>
  </si>
  <si>
    <r>
      <t xml:space="preserve">Tablo  5 - Sosyal  Sigortalar Kurumu Bütçesi  </t>
    </r>
    <r>
      <rPr>
        <i/>
        <sz val="12"/>
        <rFont val="Times New Roman"/>
        <family val="1"/>
      </rPr>
      <t>( Budget of Insurance Instition )</t>
    </r>
  </si>
  <si>
    <r>
      <t xml:space="preserve">Tablo   6 -  Kurumumuzun Gelir ve Giderleri </t>
    </r>
    <r>
      <rPr>
        <i/>
        <sz val="12"/>
        <rFont val="Times New Roman"/>
        <family val="1"/>
      </rPr>
      <t>( Revenue and expenditure items of Sll )</t>
    </r>
  </si>
  <si>
    <t xml:space="preserve">Tablo 7 - Kurumun Ödemeler Dengesinin Yıllar İtibariyle Değişimi </t>
  </si>
  <si>
    <r>
      <t xml:space="preserve">Tablo 8 - SSK,Bağ-Kur ve Emekli Sandığına yapılan bütçe transferleri </t>
    </r>
    <r>
      <rPr>
        <i/>
        <sz val="12"/>
        <rFont val="Times New Roman"/>
        <family val="1"/>
      </rPr>
      <t>(Milyar TL.)</t>
    </r>
  </si>
  <si>
    <t>Tablo 9 - Prim Gelirleri , Emekli Ödemeleri ve Hazine Yardımları</t>
  </si>
  <si>
    <r>
      <t xml:space="preserve">Tablo 10 - Prim gelirleri ve emekli ödemeleri  </t>
    </r>
    <r>
      <rPr>
        <i/>
        <sz val="12"/>
        <rFont val="Times New Roman"/>
        <family val="1"/>
      </rPr>
      <t xml:space="preserve">(Premium Incomes and Payments of Pensions) </t>
    </r>
  </si>
  <si>
    <t>NOT:4) 2005  yılından itibaren geçici işgöremezlik +yolluk+cenaze+dış ülke giderleri sağlık giderlerine dahil edilmemiştir.</t>
  </si>
  <si>
    <t>(**) , (***)İlaç ödemeleri dahildir.</t>
  </si>
  <si>
    <r>
      <t>NOT:1-) 2005 ve 2006 yılı rakamlarımız 12 aylık fiili nakit akım tablosundan alınmıştır.2006 yılı ise 12 aylık fiili nakit akım tablolarından alınmıştır.Ayrıca 2006 yılında Sağlık Bakanlığı ile Diğer Sağlık Tesisleri Ödemeleri olan 11.267.805,0 Milyar TL. kısmında</t>
    </r>
    <r>
      <rPr>
        <sz val="10"/>
        <color indexed="10"/>
        <rFont val="Times New Roman"/>
        <family val="1"/>
      </rPr>
      <t xml:space="preserve"> </t>
    </r>
    <r>
      <rPr>
        <sz val="10"/>
        <rFont val="Times New Roman"/>
        <family val="1"/>
      </rPr>
      <t>18 Milyon YTL</t>
    </r>
    <r>
      <rPr>
        <sz val="10"/>
        <color indexed="10"/>
        <rFont val="Times New Roman"/>
        <family val="1"/>
      </rPr>
      <t xml:space="preserve">.  </t>
    </r>
    <r>
      <rPr>
        <sz val="10"/>
        <rFont val="Times New Roman"/>
        <family val="1"/>
      </rPr>
      <t>2004 yılından kalan kurum eczaneleri ilaç borcu bulunmaktadır.</t>
    </r>
  </si>
  <si>
    <r>
      <t xml:space="preserve">•  </t>
    </r>
    <r>
      <rPr>
        <i/>
        <sz val="9"/>
        <color indexed="8"/>
        <rFont val="Times New Roman"/>
        <family val="1"/>
      </rPr>
      <t>(ASGARİ ÜCRET ÜZERİNDEN ÇALIŞANLAR EMEKLİ OLDUKLARINDA %</t>
    </r>
    <r>
      <rPr>
        <i/>
        <sz val="9"/>
        <color indexed="10"/>
        <rFont val="Times New Roman"/>
        <family val="1"/>
      </rPr>
      <t xml:space="preserve"> 30,5</t>
    </r>
    <r>
      <rPr>
        <i/>
        <sz val="9"/>
        <color indexed="8"/>
        <rFont val="Times New Roman"/>
        <family val="1"/>
      </rPr>
      <t xml:space="preserve"> DAHA FAZLA AYLIK ALMAKTADIRLAR</t>
    </r>
  </si>
  <si>
    <t>01.07.2007-31.12.2007</t>
  </si>
  <si>
    <t xml:space="preserve">İller İtibariyle İşyeri ve Sigortalı Sayıları (Haziran 2007) </t>
  </si>
  <si>
    <r>
      <t xml:space="preserve">4958 SAYILI KANUNA GÖRE İDARİ PARA CEZALARI     </t>
    </r>
    <r>
      <rPr>
        <i/>
        <sz val="10"/>
        <rFont val="Times New Roman"/>
        <family val="1"/>
      </rPr>
      <t xml:space="preserve"> (01.07.2007-31.12.2007 )</t>
    </r>
  </si>
  <si>
    <t>19,5 YTL.</t>
  </si>
  <si>
    <t>585.00YTL.</t>
  </si>
  <si>
    <t>126,75 YTL.</t>
  </si>
  <si>
    <t>3.802,50 YTL.</t>
  </si>
  <si>
    <t xml:space="preserve"> 87,75YTL.</t>
  </si>
  <si>
    <t>GENEL TOPLAM</t>
  </si>
  <si>
    <t>2007  (Haziran)</t>
  </si>
  <si>
    <r>
      <t>NOT:</t>
    </r>
    <r>
      <rPr>
        <sz val="10"/>
        <rFont val="Times New Roman"/>
        <family val="1"/>
      </rPr>
      <t xml:space="preserve">.2006 yılı rakamlar  12 aylık fiili  nakit akım tablosundan alınmıştır..Hazineden 2006  yılında emeklilerimize ödenmek üzere ek ödeme karşılığı olan 931.807Bin YTL.ek ödeme alınmıştır.. </t>
    </r>
  </si>
  <si>
    <r>
      <t xml:space="preserve">(****)    </t>
    </r>
    <r>
      <rPr>
        <sz val="8"/>
        <color indexed="8"/>
        <rFont val="Times New Roman"/>
        <family val="1"/>
      </rPr>
      <t>2007 yılı 10 aylık fiili 2 aylık tahmini nakit  akım tablosu rakamlarıdır.2006 ve 2007 yılında Gelir ve giderlere ek ödeme dahildir.</t>
    </r>
  </si>
</sst>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_(* #,##0.00_);_(* \(#,##0.00\);_(* &quot;-&quot;??_);_(@_)"/>
    <numFmt numFmtId="167" formatCode="_(* #,##0_);_(* \(#,##0\);_(* &quot;-&quot;??_);_(@_)"/>
    <numFmt numFmtId="168" formatCode="_(* #,##0.0_);_(* \(#,##0.0\);_(* &quot;-&quot;??_);_(@_)"/>
    <numFmt numFmtId="169" formatCode="#,##0.0"/>
    <numFmt numFmtId="170" formatCode="0.0"/>
    <numFmt numFmtId="171" formatCode="_(* #,##0_);_(* \(#,##0\);_(* &quot;-&quot;_);_(@_)"/>
    <numFmt numFmtId="172" formatCode="&quot;Evet&quot;;&quot;Evet&quot;;&quot;Hayır&quot;"/>
    <numFmt numFmtId="173" formatCode="&quot;Doğru&quot;;&quot;Doğru&quot;;&quot;Yanlış&quot;"/>
    <numFmt numFmtId="174" formatCode="&quot;Açık&quot;;&quot;Açık&quot;;&quot;Kapalı&quot;"/>
    <numFmt numFmtId="175" formatCode="_-* #,##0_-;\-* #,##0_-;_-* &quot;-&quot;??_-;_-@_-"/>
    <numFmt numFmtId="176" formatCode="[$-41F]dd\ mmmm\ yyyy\ dddd"/>
    <numFmt numFmtId="177" formatCode="#,##0.0\ &quot;TL&quot;"/>
    <numFmt numFmtId="178" formatCode="#,##0.00\ &quot;TL&quot;"/>
    <numFmt numFmtId="179" formatCode="00000"/>
    <numFmt numFmtId="180" formatCode="_-* #,##0.0_-;\-* #,##0.0_-;_-* &quot;-&quot;??_-;_-@_-"/>
    <numFmt numFmtId="181" formatCode="#,##0.000"/>
    <numFmt numFmtId="182" formatCode="#,##0.0\ &quot;TL&quot;;[Red]\-#,##0.0\ &quot;TL&quot;"/>
    <numFmt numFmtId="183" formatCode="0.0%"/>
    <numFmt numFmtId="184" formatCode="_-* #,##0.0\ _T_L_-;\-* #,##0.0\ _T_L_-;_-* &quot;-&quot;?\ _T_L_-;_-@_-"/>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mmmmm\ yy"/>
    <numFmt numFmtId="195" formatCode="mmmm\ yy"/>
    <numFmt numFmtId="196" formatCode="#,##0_ ;\-#,##0\ "/>
    <numFmt numFmtId="197" formatCode="#,##0.0000"/>
    <numFmt numFmtId="198" formatCode="_-* #,##0.0\ &quot;TL&quot;_-;\-* #,##0.0\ &quot;TL&quot;_-;_-* &quot;-&quot;\ &quot;TL&quot;_-;_-@_-"/>
    <numFmt numFmtId="199" formatCode="_-* #,##0.00\ &quot;TL&quot;_-;\-* #,##0.00\ &quot;TL&quot;_-;_-* &quot;-&quot;\ &quot;TL&quot;_-;_-@_-"/>
    <numFmt numFmtId="200" formatCode="_-* #,##0.000\ &quot;TL&quot;_-;\-* #,##0.000\ &quot;TL&quot;_-;_-* &quot;-&quot;\ &quot;TL&quot;_-;_-@_-"/>
    <numFmt numFmtId="201" formatCode="_-* #,##0.0000\ &quot;TL&quot;_-;\-* #,##0.0000\ &quot;TL&quot;_-;_-* &quot;-&quot;\ &quot;TL&quot;_-;_-@_-"/>
    <numFmt numFmtId="202" formatCode="_-* #,##0.00000\ &quot;TL&quot;_-;\-* #,##0.00000\ &quot;TL&quot;_-;_-* &quot;-&quot;\ &quot;TL&quot;_-;_-@_-"/>
    <numFmt numFmtId="203" formatCode="_-* #,##0.000000\ &quot;TL&quot;_-;\-* #,##0.000000\ &quot;TL&quot;_-;_-* &quot;-&quot;\ &quot;TL&quot;_-;_-@_-"/>
    <numFmt numFmtId="204" formatCode="_-* #,##0.0000000\ &quot;TL&quot;_-;\-* #,##0.0000000\ &quot;TL&quot;_-;_-* &quot;-&quot;\ &quot;TL&quot;_-;_-@_-"/>
    <numFmt numFmtId="205" formatCode="_-* #,##0.00000000\ &quot;TL&quot;_-;\-* #,##0.00000000\ &quot;TL&quot;_-;_-* &quot;-&quot;\ &quot;TL&quot;_-;_-@_-"/>
    <numFmt numFmtId="206" formatCode="_-* #,##0.000000000\ &quot;TL&quot;_-;\-* #,##0.000000000\ &quot;TL&quot;_-;_-* &quot;-&quot;\ &quot;TL&quot;_-;_-@_-"/>
    <numFmt numFmtId="207" formatCode="B2dd/mm/yyyy"/>
    <numFmt numFmtId="208" formatCode="[$-41F]0.00"/>
    <numFmt numFmtId="209" formatCode="_-* #,##0.00\ _T_L_-;\-* #,##0.00\ _T_L_-;_-* &quot;-&quot;?\ _T_L_-;_-@_-"/>
    <numFmt numFmtId="210" formatCode="_-* #,##0.000\ _T_L_-;\-* #,##0.000\ _T_L_-;_-* &quot;-&quot;?\ _T_L_-;_-@_-"/>
    <numFmt numFmtId="211" formatCode="_-* #,##0.0000\ _T_L_-;\-* #,##0.0000\ _T_L_-;_-* &quot;-&quot;?\ _T_L_-;_-@_-"/>
    <numFmt numFmtId="212" formatCode="_-* #,##0.00000\ _T_L_-;\-* #,##0.00000\ _T_L_-;_-* &quot;-&quot;?\ _T_L_-;_-@_-"/>
    <numFmt numFmtId="213" formatCode="_(* #,##0.000_);_(* \(#,##0.000\);_(* &quot;-&quot;??_);_(@_)"/>
    <numFmt numFmtId="214" formatCode="_(* #,##0.0000_);_(* \(#,##0.0000\);_(* &quot;-&quot;??_);_(@_)"/>
    <numFmt numFmtId="215" formatCode="[$-41F]d\ mmmm;@"/>
    <numFmt numFmtId="216" formatCode="_-* #,##0.0000000\ _T_L_-;\-* #,##0.0000000\ _T_L_-;_-* &quot;-&quot;??\ _T_L_-;_-@_-"/>
    <numFmt numFmtId="217" formatCode="_-* #,##0.00\ _T_L_-;\-* #,##0.00\ _T_L_-;_-* &quot;-&quot;\ _T_L_-;_-@_-"/>
    <numFmt numFmtId="218" formatCode="#,##0;[Red]#,##0"/>
    <numFmt numFmtId="219" formatCode="#,##0.00;[Red]#,##0.00"/>
    <numFmt numFmtId="220" formatCode="_-* #,##0.000\ _T_L_-;\-* #,##0.000\ _T_L_-;_-* &quot;-&quot;??\ _T_L_-;_-@_-"/>
    <numFmt numFmtId="221" formatCode="_-* #,##0.0000\ _T_L_-;\-* #,##0.0000\ _T_L_-;_-* &quot;-&quot;??\ _T_L_-;_-@_-"/>
    <numFmt numFmtId="222" formatCode="_-* #,##0.00_-;\-* #,##0.00_-;_-* &quot;-&quot;??_-;_-@_-"/>
  </numFmts>
  <fonts count="129">
    <font>
      <sz val="10"/>
      <name val="Arial Tur"/>
      <family val="0"/>
    </font>
    <font>
      <sz val="10"/>
      <name val="Times New Roman"/>
      <family val="1"/>
    </font>
    <font>
      <b/>
      <sz val="10"/>
      <name val="Times New Roman"/>
      <family val="1"/>
    </font>
    <font>
      <b/>
      <sz val="10"/>
      <name val="Arial Tur"/>
      <family val="0"/>
    </font>
    <font>
      <sz val="12"/>
      <name val="Times New Roman"/>
      <family val="1"/>
    </font>
    <font>
      <b/>
      <sz val="12"/>
      <name val="Times New Roman"/>
      <family val="1"/>
    </font>
    <font>
      <b/>
      <sz val="14"/>
      <name val="Times New Roman"/>
      <family val="1"/>
    </font>
    <font>
      <sz val="14"/>
      <name val="Times New Roman"/>
      <family val="1"/>
    </font>
    <font>
      <sz val="8"/>
      <name val="Arial Tur"/>
      <family val="0"/>
    </font>
    <font>
      <b/>
      <sz val="8"/>
      <name val="Times New Roman"/>
      <family val="1"/>
    </font>
    <font>
      <sz val="12"/>
      <name val="Arial Tur"/>
      <family val="0"/>
    </font>
    <font>
      <sz val="11.5"/>
      <name val="Arial Tur"/>
      <family val="0"/>
    </font>
    <font>
      <b/>
      <sz val="11"/>
      <name val="Times New Roman"/>
      <family val="1"/>
    </font>
    <font>
      <sz val="11.25"/>
      <name val="Arial Tur"/>
      <family val="0"/>
    </font>
    <font>
      <sz val="9.75"/>
      <name val="Arial Tur"/>
      <family val="0"/>
    </font>
    <font>
      <i/>
      <sz val="12"/>
      <name val="Times New Roman"/>
      <family val="1"/>
    </font>
    <font>
      <b/>
      <sz val="2.5"/>
      <name val="Times New Roman"/>
      <family val="1"/>
    </font>
    <font>
      <b/>
      <sz val="2.25"/>
      <name val="Times New Roman"/>
      <family val="1"/>
    </font>
    <font>
      <sz val="4"/>
      <name val="Arial Tur"/>
      <family val="0"/>
    </font>
    <font>
      <sz val="3.5"/>
      <name val="Arial Tur"/>
      <family val="0"/>
    </font>
    <font>
      <b/>
      <sz val="2.75"/>
      <name val="Times New Roman"/>
      <family val="1"/>
    </font>
    <font>
      <sz val="11.75"/>
      <name val="Arial Tur"/>
      <family val="0"/>
    </font>
    <font>
      <b/>
      <sz val="8.25"/>
      <name val="Times New Roman"/>
      <family val="1"/>
    </font>
    <font>
      <b/>
      <sz val="6.25"/>
      <name val="Times New Roman"/>
      <family val="1"/>
    </font>
    <font>
      <i/>
      <sz val="10"/>
      <name val="Times New Roman"/>
      <family val="1"/>
    </font>
    <font>
      <u val="single"/>
      <sz val="10"/>
      <color indexed="36"/>
      <name val="Arial"/>
      <family val="0"/>
    </font>
    <font>
      <u val="single"/>
      <sz val="10"/>
      <color indexed="12"/>
      <name val="Arial"/>
      <family val="0"/>
    </font>
    <font>
      <sz val="11"/>
      <name val="Times New Roman"/>
      <family val="1"/>
    </font>
    <font>
      <b/>
      <sz val="10"/>
      <color indexed="8"/>
      <name val="Times New Roman"/>
      <family val="1"/>
    </font>
    <font>
      <sz val="9"/>
      <name val="Times New Roman"/>
      <family val="1"/>
    </font>
    <font>
      <b/>
      <sz val="9"/>
      <name val="Times New Roman"/>
      <family val="1"/>
    </font>
    <font>
      <sz val="11"/>
      <color indexed="8"/>
      <name val="Times New Roman"/>
      <family val="1"/>
    </font>
    <font>
      <i/>
      <sz val="9"/>
      <name val="Times New Roman"/>
      <family val="1"/>
    </font>
    <font>
      <b/>
      <sz val="11"/>
      <color indexed="12"/>
      <name val="Times New Roman"/>
      <family val="1"/>
    </font>
    <font>
      <sz val="10"/>
      <color indexed="9"/>
      <name val="Times New Roman"/>
      <family val="1"/>
    </font>
    <font>
      <b/>
      <sz val="11"/>
      <color indexed="8"/>
      <name val="Times New Roman"/>
      <family val="1"/>
    </font>
    <font>
      <sz val="10"/>
      <color indexed="8"/>
      <name val="Arial Tur"/>
      <family val="0"/>
    </font>
    <font>
      <i/>
      <sz val="11"/>
      <color indexed="8"/>
      <name val="Times New Roman"/>
      <family val="1"/>
    </font>
    <font>
      <b/>
      <sz val="8.5"/>
      <name val="Times New Roman"/>
      <family val="1"/>
    </font>
    <font>
      <b/>
      <sz val="8"/>
      <name val="Arial Tur"/>
      <family val="0"/>
    </font>
    <font>
      <b/>
      <sz val="9"/>
      <color indexed="8"/>
      <name val="Times New Roman"/>
      <family val="1"/>
    </font>
    <font>
      <i/>
      <sz val="9"/>
      <color indexed="8"/>
      <name val="Times New Roman"/>
      <family val="1"/>
    </font>
    <font>
      <b/>
      <sz val="9"/>
      <color indexed="9"/>
      <name val="Times New Roman"/>
      <family val="1"/>
    </font>
    <font>
      <b/>
      <sz val="11"/>
      <color indexed="9"/>
      <name val="Times New Roman"/>
      <family val="1"/>
    </font>
    <font>
      <sz val="11"/>
      <color indexed="9"/>
      <name val="Times New Roman"/>
      <family val="1"/>
    </font>
    <font>
      <b/>
      <sz val="12"/>
      <color indexed="8"/>
      <name val="Times New Roman"/>
      <family val="1"/>
    </font>
    <font>
      <b/>
      <i/>
      <sz val="11"/>
      <color indexed="8"/>
      <name val="Times New Roman"/>
      <family val="1"/>
    </font>
    <font>
      <b/>
      <sz val="7"/>
      <name val="Times New Roman"/>
      <family val="1"/>
    </font>
    <font>
      <sz val="8"/>
      <name val="Times New Roman"/>
      <family val="1"/>
    </font>
    <font>
      <b/>
      <sz val="8"/>
      <color indexed="8"/>
      <name val="Times New Roman"/>
      <family val="1"/>
    </font>
    <font>
      <sz val="8"/>
      <color indexed="8"/>
      <name val="Times New Roman"/>
      <family val="1"/>
    </font>
    <font>
      <sz val="10"/>
      <color indexed="10"/>
      <name val="Times New Roman"/>
      <family val="1"/>
    </font>
    <font>
      <sz val="8.25"/>
      <name val="Arial Tur"/>
      <family val="0"/>
    </font>
    <font>
      <b/>
      <sz val="12"/>
      <color indexed="48"/>
      <name val="Times New Roman"/>
      <family val="1"/>
    </font>
    <font>
      <sz val="10"/>
      <color indexed="8"/>
      <name val="Times New Roman"/>
      <family val="1"/>
    </font>
    <font>
      <i/>
      <sz val="12"/>
      <color indexed="8"/>
      <name val="Times New Roman"/>
      <family val="1"/>
    </font>
    <font>
      <i/>
      <sz val="10"/>
      <color indexed="8"/>
      <name val="Times New Roman"/>
      <family val="1"/>
    </font>
    <font>
      <sz val="9"/>
      <color indexed="8"/>
      <name val="Times New Roman"/>
      <family val="1"/>
    </font>
    <font>
      <b/>
      <sz val="9"/>
      <color indexed="48"/>
      <name val="Times New Roman"/>
      <family val="1"/>
    </font>
    <font>
      <b/>
      <sz val="9"/>
      <color indexed="10"/>
      <name val="Times New Roman"/>
      <family val="1"/>
    </font>
    <font>
      <sz val="14"/>
      <color indexed="10"/>
      <name val="Times New Roman"/>
      <family val="1"/>
    </font>
    <font>
      <sz val="15.75"/>
      <name val="Arial Tur"/>
      <family val="0"/>
    </font>
    <font>
      <b/>
      <sz val="5.75"/>
      <name val="Times New Roman"/>
      <family val="1"/>
    </font>
    <font>
      <sz val="12"/>
      <color indexed="9"/>
      <name val="Times New Roman"/>
      <family val="1"/>
    </font>
    <font>
      <sz val="8"/>
      <color indexed="9"/>
      <name val="Times New Roman"/>
      <family val="1"/>
    </font>
    <font>
      <b/>
      <sz val="8.75"/>
      <name val="Times New Roman"/>
      <family val="1"/>
    </font>
    <font>
      <sz val="9"/>
      <name val="Arial Tur"/>
      <family val="0"/>
    </font>
    <font>
      <sz val="12"/>
      <color indexed="8"/>
      <name val="Times New Roman"/>
      <family val="1"/>
    </font>
    <font>
      <b/>
      <u val="single"/>
      <sz val="12"/>
      <color indexed="8"/>
      <name val="Times New Roman"/>
      <family val="1"/>
    </font>
    <font>
      <b/>
      <sz val="7"/>
      <color indexed="60"/>
      <name val="Times New Roman"/>
      <family val="1"/>
    </font>
    <font>
      <sz val="7"/>
      <name val="Times New Roman"/>
      <family val="1"/>
    </font>
    <font>
      <sz val="14"/>
      <color indexed="8"/>
      <name val="Times New Roman"/>
      <family val="1"/>
    </font>
    <font>
      <sz val="7"/>
      <color indexed="8"/>
      <name val="Times New Roman"/>
      <family val="1"/>
    </font>
    <font>
      <sz val="6"/>
      <color indexed="8"/>
      <name val="Times New Roman"/>
      <family val="1"/>
    </font>
    <font>
      <b/>
      <sz val="7"/>
      <color indexed="8"/>
      <name val="Times New Roman"/>
      <family val="1"/>
    </font>
    <font>
      <b/>
      <sz val="12"/>
      <color indexed="12"/>
      <name val="Times New Roman"/>
      <family val="1"/>
    </font>
    <font>
      <b/>
      <sz val="14"/>
      <color indexed="12"/>
      <name val="Times New Roman"/>
      <family val="1"/>
    </font>
    <font>
      <i/>
      <sz val="12"/>
      <color indexed="12"/>
      <name val="Times New Roman"/>
      <family val="1"/>
    </font>
    <font>
      <b/>
      <sz val="11.75"/>
      <color indexed="12"/>
      <name val="Times New Roman"/>
      <family val="1"/>
    </font>
    <font>
      <b/>
      <sz val="10"/>
      <color indexed="12"/>
      <name val="Times New Roman"/>
      <family val="1"/>
    </font>
    <font>
      <b/>
      <sz val="9.75"/>
      <color indexed="12"/>
      <name val="Times New Roman"/>
      <family val="1"/>
    </font>
    <font>
      <sz val="10"/>
      <color indexed="12"/>
      <name val="Arial Tur"/>
      <family val="0"/>
    </font>
    <font>
      <sz val="12"/>
      <color indexed="12"/>
      <name val="Times New Roman"/>
      <family val="1"/>
    </font>
    <font>
      <i/>
      <sz val="14"/>
      <color indexed="12"/>
      <name val="Times New Roman"/>
      <family val="1"/>
    </font>
    <font>
      <sz val="14"/>
      <color indexed="12"/>
      <name val="Times New Roman"/>
      <family val="1"/>
    </font>
    <font>
      <i/>
      <sz val="11"/>
      <color indexed="12"/>
      <name val="Times New Roman"/>
      <family val="1"/>
    </font>
    <font>
      <i/>
      <sz val="10"/>
      <color indexed="12"/>
      <name val="Arial Tur"/>
      <family val="0"/>
    </font>
    <font>
      <sz val="10"/>
      <color indexed="12"/>
      <name val="Times New Roman"/>
      <family val="1"/>
    </font>
    <font>
      <i/>
      <sz val="10"/>
      <color indexed="12"/>
      <name val="Times New Roman"/>
      <family val="1"/>
    </font>
    <font>
      <sz val="12"/>
      <color indexed="12"/>
      <name val="Arial Tur"/>
      <family val="0"/>
    </font>
    <font>
      <b/>
      <sz val="6"/>
      <name val="Times New Roman"/>
      <family val="1"/>
    </font>
    <font>
      <sz val="9"/>
      <color indexed="9"/>
      <name val="Times New Roman"/>
      <family val="1"/>
    </font>
    <font>
      <b/>
      <i/>
      <sz val="8"/>
      <name val="Times New Roman"/>
      <family val="1"/>
    </font>
    <font>
      <sz val="11"/>
      <name val="Arial Tur"/>
      <family val="0"/>
    </font>
    <font>
      <b/>
      <sz val="18"/>
      <color indexed="18"/>
      <name val="Times New Roman"/>
      <family val="1"/>
    </font>
    <font>
      <sz val="16"/>
      <color indexed="18"/>
      <name val="Times New Roman"/>
      <family val="1"/>
    </font>
    <font>
      <b/>
      <sz val="26"/>
      <color indexed="18"/>
      <name val="Times New Roman"/>
      <family val="1"/>
    </font>
    <font>
      <i/>
      <sz val="26"/>
      <color indexed="18"/>
      <name val="Times New Roman"/>
      <family val="1"/>
    </font>
    <font>
      <i/>
      <sz val="26"/>
      <color indexed="10"/>
      <name val="Times New Roman"/>
      <family val="1"/>
    </font>
    <font>
      <i/>
      <sz val="16"/>
      <color indexed="10"/>
      <name val="Times New Roman"/>
      <family val="1"/>
    </font>
    <font>
      <i/>
      <sz val="11"/>
      <name val="Arial Tur"/>
      <family val="0"/>
    </font>
    <font>
      <b/>
      <i/>
      <sz val="14"/>
      <name val="Arial Tur"/>
      <family val="0"/>
    </font>
    <font>
      <b/>
      <sz val="8"/>
      <name val="Comic Sans MS"/>
      <family val="4"/>
    </font>
    <font>
      <b/>
      <sz val="8"/>
      <color indexed="12"/>
      <name val="Times New Roman"/>
      <family val="1"/>
    </font>
    <font>
      <i/>
      <sz val="8"/>
      <color indexed="12"/>
      <name val="Times New Roman"/>
      <family val="1"/>
    </font>
    <font>
      <sz val="10"/>
      <name val="Arial"/>
      <family val="0"/>
    </font>
    <font>
      <sz val="9"/>
      <color indexed="63"/>
      <name val="Times New Roman"/>
      <family val="1"/>
    </font>
    <font>
      <b/>
      <sz val="9"/>
      <color indexed="63"/>
      <name val="Times New Roman"/>
      <family val="1"/>
    </font>
    <font>
      <b/>
      <sz val="20"/>
      <color indexed="12"/>
      <name val="Times New Roman"/>
      <family val="1"/>
    </font>
    <font>
      <sz val="20"/>
      <color indexed="12"/>
      <name val="Arial Tur"/>
      <family val="0"/>
    </font>
    <font>
      <b/>
      <sz val="10"/>
      <color indexed="9"/>
      <name val="Times New Roman"/>
      <family val="1"/>
    </font>
    <font>
      <b/>
      <i/>
      <sz val="9"/>
      <name val="Times New Roman"/>
      <family val="1"/>
    </font>
    <font>
      <sz val="9"/>
      <name val="Arial"/>
      <family val="2"/>
    </font>
    <font>
      <b/>
      <sz val="10"/>
      <name val="Arial"/>
      <family val="2"/>
    </font>
    <font>
      <b/>
      <sz val="9"/>
      <name val="Arial"/>
      <family val="2"/>
    </font>
    <font>
      <b/>
      <sz val="9.5"/>
      <name val="Arial"/>
      <family val="2"/>
    </font>
    <font>
      <sz val="8"/>
      <name val="Arial"/>
      <family val="2"/>
    </font>
    <font>
      <b/>
      <sz val="8"/>
      <name val="Tahoma"/>
      <family val="0"/>
    </font>
    <font>
      <sz val="8"/>
      <name val="Tahoma"/>
      <family val="0"/>
    </font>
    <font>
      <b/>
      <sz val="5"/>
      <name val="Times New Roman"/>
      <family val="1"/>
    </font>
    <font>
      <b/>
      <sz val="5.5"/>
      <name val="Times New Roman"/>
      <family val="1"/>
    </font>
    <font>
      <b/>
      <sz val="12.5"/>
      <color indexed="12"/>
      <name val="Times New Roman"/>
      <family val="1"/>
    </font>
    <font>
      <b/>
      <sz val="9.5"/>
      <color indexed="8"/>
      <name val="Times New Roman"/>
      <family val="1"/>
    </font>
    <font>
      <sz val="9.5"/>
      <color indexed="8"/>
      <name val="Times New Roman"/>
      <family val="1"/>
    </font>
    <font>
      <b/>
      <sz val="11.25"/>
      <name val="Times New Roman"/>
      <family val="1"/>
    </font>
    <font>
      <sz val="9"/>
      <color indexed="8"/>
      <name val="Arial"/>
      <family val="2"/>
    </font>
    <font>
      <b/>
      <sz val="9"/>
      <color indexed="8"/>
      <name val="Arial"/>
      <family val="2"/>
    </font>
    <font>
      <sz val="8"/>
      <color indexed="10"/>
      <name val="Times New Roman"/>
      <family val="1"/>
    </font>
    <font>
      <i/>
      <sz val="9"/>
      <color indexed="10"/>
      <name val="Times New Roman"/>
      <family val="1"/>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100">
    <border>
      <left/>
      <right/>
      <top/>
      <bottom/>
      <diagonal/>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style="double"/>
      <top style="hair"/>
      <bottom style="hair"/>
    </border>
    <border>
      <left style="double"/>
      <right style="hair"/>
      <top style="hair"/>
      <bottom style="hair"/>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double"/>
      <right style="hair"/>
      <top style="double"/>
      <bottom style="hair"/>
    </border>
    <border>
      <left style="hair"/>
      <right style="double"/>
      <top style="double"/>
      <bottom style="hair"/>
    </border>
    <border>
      <left style="hair"/>
      <right style="double"/>
      <top style="hair"/>
      <bottom style="double"/>
    </border>
    <border>
      <left style="double"/>
      <right style="hair"/>
      <top style="hair"/>
      <bottom style="double"/>
    </border>
    <border>
      <left style="hair"/>
      <right style="hair"/>
      <top style="hair"/>
      <bottom style="double"/>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medium"/>
      <bottom>
        <color indexed="63"/>
      </bottom>
    </border>
    <border>
      <left style="thin"/>
      <right>
        <color indexed="63"/>
      </right>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double"/>
      <top>
        <color indexed="63"/>
      </top>
      <bottom style="double"/>
    </border>
    <border>
      <left style="hair"/>
      <right style="double"/>
      <top>
        <color indexed="63"/>
      </top>
      <bottom>
        <color indexed="63"/>
      </bottom>
    </border>
    <border>
      <left>
        <color indexed="63"/>
      </left>
      <right style="hair"/>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medium"/>
      <bottom>
        <color indexed="63"/>
      </bottom>
    </border>
    <border>
      <left>
        <color indexed="63"/>
      </left>
      <right style="medium"/>
      <top>
        <color indexed="63"/>
      </top>
      <bottom style="medium"/>
    </border>
    <border>
      <left style="medium"/>
      <right style="medium"/>
      <top style="thin"/>
      <bottom style="thin"/>
    </border>
    <border>
      <left style="medium"/>
      <right style="medium"/>
      <top style="medium"/>
      <bottom style="thin"/>
    </border>
    <border>
      <left style="medium"/>
      <right>
        <color indexed="63"/>
      </right>
      <top style="thin"/>
      <bottom style="thin"/>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hair"/>
      <right style="hair"/>
      <top style="double"/>
      <bottom style="hair"/>
    </border>
    <border>
      <left style="double"/>
      <right style="hair"/>
      <top style="double"/>
      <bottom>
        <color indexed="63"/>
      </bottom>
    </border>
    <border>
      <left style="double"/>
      <right style="hair"/>
      <top>
        <color indexed="63"/>
      </top>
      <bottom style="hair"/>
    </border>
    <border>
      <left style="hair"/>
      <right>
        <color indexed="63"/>
      </right>
      <top style="double"/>
      <bottom style="hair"/>
    </border>
    <border>
      <left style="hair"/>
      <right>
        <color indexed="63"/>
      </right>
      <top style="hair"/>
      <bottom style="hair"/>
    </border>
    <border>
      <left style="hair"/>
      <right>
        <color indexed="63"/>
      </right>
      <top style="hair"/>
      <bottom style="double"/>
    </border>
    <border>
      <left>
        <color indexed="63"/>
      </left>
      <right style="double"/>
      <top style="double"/>
      <bottom style="hair"/>
    </border>
    <border>
      <left>
        <color indexed="63"/>
      </left>
      <right style="double"/>
      <top style="hair"/>
      <bottom style="hair"/>
    </border>
    <border>
      <left>
        <color indexed="63"/>
      </left>
      <right style="double"/>
      <top style="hair"/>
      <bottom style="double"/>
    </border>
    <border>
      <left style="double"/>
      <right>
        <color indexed="63"/>
      </right>
      <top>
        <color indexed="63"/>
      </top>
      <bottom style="double"/>
    </border>
    <border>
      <left style="hair"/>
      <right style="double"/>
      <top style="double"/>
      <bottom>
        <color indexed="63"/>
      </bottom>
    </border>
    <border>
      <left style="hair"/>
      <right style="double"/>
      <top>
        <color indexed="63"/>
      </top>
      <bottom style="hair"/>
    </border>
    <border>
      <left style="hair"/>
      <right style="hair"/>
      <top>
        <color indexed="63"/>
      </top>
      <bottom style="double"/>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color indexed="63"/>
      </right>
      <top style="double"/>
      <bottom>
        <color indexed="63"/>
      </bottom>
    </border>
    <border>
      <left>
        <color indexed="63"/>
      </left>
      <right style="hair"/>
      <top style="hair"/>
      <bottom style="hair"/>
    </border>
    <border>
      <left>
        <color indexed="63"/>
      </left>
      <right style="hair"/>
      <top style="hair"/>
      <bottom style="double"/>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double"/>
    </border>
    <border>
      <left>
        <color indexed="63"/>
      </left>
      <right>
        <color indexed="63"/>
      </right>
      <top style="hair"/>
      <bottom style="double"/>
    </border>
    <border>
      <left style="double"/>
      <right>
        <color indexed="63"/>
      </right>
      <top style="double"/>
      <bottom style="hair"/>
    </border>
    <border>
      <left>
        <color indexed="63"/>
      </left>
      <right>
        <color indexed="63"/>
      </right>
      <top style="double"/>
      <bottom style="hair"/>
    </border>
    <border>
      <left style="medium"/>
      <right style="thin"/>
      <top>
        <color indexed="63"/>
      </top>
      <bottom style="medium"/>
    </border>
    <border>
      <left style="medium"/>
      <right>
        <color indexed="63"/>
      </right>
      <top style="medium"/>
      <bottom>
        <color indexed="63"/>
      </bottom>
    </border>
    <border>
      <left style="double"/>
      <right style="hair"/>
      <top style="hair"/>
      <bottom>
        <color indexed="63"/>
      </bottom>
    </border>
    <border>
      <left style="double"/>
      <right style="hair"/>
      <top>
        <color indexed="63"/>
      </top>
      <bottom>
        <color indexed="63"/>
      </bottom>
    </border>
    <border>
      <left>
        <color indexed="63"/>
      </left>
      <right style="medium"/>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3" fontId="105" fillId="0" borderId="0">
      <alignment vertical="center" wrapText="1"/>
      <protection/>
    </xf>
    <xf numFmtId="0" fontId="105"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3">
    <xf numFmtId="0" fontId="0" fillId="0" borderId="0" xfId="0" applyAlignment="1">
      <alignment/>
    </xf>
    <xf numFmtId="0" fontId="1" fillId="0" borderId="0" xfId="0" applyFont="1" applyAlignment="1">
      <alignment/>
    </xf>
    <xf numFmtId="0" fontId="5" fillId="0" borderId="1" xfId="0" applyFont="1" applyBorder="1" applyAlignment="1">
      <alignment vertical="center"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3" fontId="34" fillId="0" borderId="0" xfId="0" applyNumberFormat="1" applyFont="1" applyAlignment="1">
      <alignment/>
    </xf>
    <xf numFmtId="0" fontId="1" fillId="0" borderId="0" xfId="0" applyFont="1" applyAlignment="1">
      <alignment horizontal="left"/>
    </xf>
    <xf numFmtId="3" fontId="34" fillId="0" borderId="0" xfId="0" applyNumberFormat="1" applyFont="1" applyAlignment="1">
      <alignment wrapText="1"/>
    </xf>
    <xf numFmtId="0" fontId="34" fillId="0" borderId="0" xfId="0" applyFont="1" applyAlignment="1">
      <alignment/>
    </xf>
    <xf numFmtId="0" fontId="30" fillId="0" borderId="0" xfId="0" applyFont="1" applyAlignment="1">
      <alignment/>
    </xf>
    <xf numFmtId="0" fontId="5" fillId="0" borderId="0" xfId="0" applyFont="1" applyAlignment="1">
      <alignment horizontal="left"/>
    </xf>
    <xf numFmtId="0" fontId="33" fillId="0" borderId="0" xfId="0" applyFont="1" applyAlignment="1">
      <alignment horizontal="center" wrapText="1"/>
    </xf>
    <xf numFmtId="0" fontId="4" fillId="0" borderId="0" xfId="0" applyFont="1" applyAlignment="1">
      <alignment/>
    </xf>
    <xf numFmtId="0" fontId="1" fillId="0" borderId="0" xfId="0" applyFont="1" applyAlignment="1">
      <alignment horizontal="center" wrapText="1"/>
    </xf>
    <xf numFmtId="0" fontId="5" fillId="0" borderId="0" xfId="0" applyFont="1" applyAlignment="1">
      <alignment/>
    </xf>
    <xf numFmtId="0" fontId="42" fillId="0" borderId="0" xfId="0" applyFont="1" applyBorder="1" applyAlignment="1">
      <alignment horizontal="center" vertical="center"/>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xf>
    <xf numFmtId="169" fontId="44" fillId="2" borderId="0" xfId="0" applyNumberFormat="1" applyFont="1" applyFill="1" applyBorder="1" applyAlignment="1">
      <alignment/>
    </xf>
    <xf numFmtId="2" fontId="44" fillId="2" borderId="0" xfId="0" applyNumberFormat="1" applyFont="1" applyFill="1" applyBorder="1" applyAlignment="1">
      <alignment/>
    </xf>
    <xf numFmtId="0" fontId="27" fillId="0" borderId="0" xfId="0" applyNumberFormat="1" applyFont="1" applyBorder="1" applyAlignment="1">
      <alignment vertical="center" wrapText="1"/>
    </xf>
    <xf numFmtId="0" fontId="1" fillId="0" borderId="0" xfId="0" applyFont="1" applyBorder="1" applyAlignment="1">
      <alignment wrapText="1"/>
    </xf>
    <xf numFmtId="3" fontId="27" fillId="0" borderId="0" xfId="0" applyNumberFormat="1" applyFont="1" applyAlignment="1">
      <alignment/>
    </xf>
    <xf numFmtId="0" fontId="9" fillId="2" borderId="0" xfId="0" applyFont="1" applyFill="1" applyBorder="1" applyAlignment="1">
      <alignment horizontal="left"/>
    </xf>
    <xf numFmtId="167" fontId="9" fillId="2" borderId="0" xfId="15" applyNumberFormat="1" applyFont="1" applyFill="1" applyBorder="1" applyAlignment="1">
      <alignment horizontal="center" vertical="center"/>
    </xf>
    <xf numFmtId="0" fontId="51" fillId="0" borderId="0" xfId="0" applyFont="1" applyAlignment="1">
      <alignment/>
    </xf>
    <xf numFmtId="0" fontId="15" fillId="0" borderId="0" xfId="0" applyFont="1" applyAlignment="1">
      <alignment horizontal="right"/>
    </xf>
    <xf numFmtId="0" fontId="0" fillId="0" borderId="0" xfId="0" applyBorder="1" applyAlignment="1">
      <alignment horizontal="left" wrapText="1"/>
    </xf>
    <xf numFmtId="168" fontId="1" fillId="0" borderId="0" xfId="0" applyNumberFormat="1" applyFont="1" applyAlignment="1">
      <alignment/>
    </xf>
    <xf numFmtId="211" fontId="1" fillId="0" borderId="0" xfId="0" applyNumberFormat="1" applyFont="1" applyAlignment="1">
      <alignment/>
    </xf>
    <xf numFmtId="0" fontId="5" fillId="0" borderId="0" xfId="0" applyFont="1" applyBorder="1" applyAlignment="1">
      <alignment horizontal="left"/>
    </xf>
    <xf numFmtId="0" fontId="0" fillId="0" borderId="0" xfId="0" applyBorder="1" applyAlignment="1">
      <alignment horizontal="left"/>
    </xf>
    <xf numFmtId="0" fontId="53" fillId="2" borderId="0" xfId="0" applyFont="1" applyFill="1" applyAlignment="1">
      <alignment/>
    </xf>
    <xf numFmtId="0" fontId="28" fillId="0" borderId="0" xfId="0" applyFont="1" applyAlignment="1">
      <alignment/>
    </xf>
    <xf numFmtId="0" fontId="1" fillId="0" borderId="0" xfId="0" applyFont="1" applyAlignment="1">
      <alignment horizontal="left" vertical="center"/>
    </xf>
    <xf numFmtId="0" fontId="45" fillId="0" borderId="0" xfId="0" applyFont="1" applyAlignment="1">
      <alignment/>
    </xf>
    <xf numFmtId="0" fontId="30" fillId="0" borderId="0" xfId="0" applyFont="1" applyBorder="1" applyAlignment="1">
      <alignment horizontal="left" vertical="center"/>
    </xf>
    <xf numFmtId="0" fontId="1" fillId="2" borderId="0" xfId="0" applyFont="1" applyFill="1" applyBorder="1" applyAlignment="1">
      <alignment/>
    </xf>
    <xf numFmtId="0" fontId="2" fillId="2" borderId="0" xfId="0" applyFont="1" applyFill="1" applyBorder="1" applyAlignment="1">
      <alignment/>
    </xf>
    <xf numFmtId="0" fontId="40" fillId="2" borderId="0" xfId="0" applyFont="1" applyFill="1" applyBorder="1" applyAlignment="1">
      <alignment horizontal="left" vertical="center" wrapText="1"/>
    </xf>
    <xf numFmtId="165" fontId="29" fillId="2" borderId="0" xfId="15" applyNumberFormat="1" applyFont="1" applyFill="1" applyBorder="1" applyAlignment="1">
      <alignment horizontal="right" vertical="center"/>
    </xf>
    <xf numFmtId="0" fontId="2" fillId="0" borderId="0" xfId="0" applyFont="1" applyAlignment="1">
      <alignment horizontal="center"/>
    </xf>
    <xf numFmtId="3" fontId="2" fillId="0" borderId="0" xfId="0" applyNumberFormat="1" applyFont="1" applyAlignment="1">
      <alignment/>
    </xf>
    <xf numFmtId="3" fontId="2" fillId="0" borderId="0" xfId="0" applyNumberFormat="1" applyFont="1" applyAlignment="1">
      <alignment/>
    </xf>
    <xf numFmtId="0" fontId="2" fillId="0" borderId="0" xfId="0" applyFont="1" applyAlignment="1">
      <alignment/>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0" xfId="0" applyFont="1" applyFill="1" applyBorder="1" applyAlignment="1">
      <alignment horizontal="center" vertical="center"/>
    </xf>
    <xf numFmtId="3" fontId="30" fillId="2" borderId="0" xfId="0" applyNumberFormat="1" applyFont="1" applyFill="1" applyBorder="1" applyAlignment="1">
      <alignment horizontal="right" vertical="center"/>
    </xf>
    <xf numFmtId="3" fontId="30" fillId="2" borderId="5" xfId="0" applyNumberFormat="1" applyFont="1" applyFill="1" applyBorder="1" applyAlignment="1">
      <alignment horizontal="right" vertical="center"/>
    </xf>
    <xf numFmtId="0" fontId="58" fillId="2" borderId="6" xfId="0" applyFont="1" applyFill="1" applyBorder="1" applyAlignment="1">
      <alignment horizontal="center" vertical="center"/>
    </xf>
    <xf numFmtId="0" fontId="58" fillId="2" borderId="0"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0" xfId="0" applyFont="1" applyFill="1" applyBorder="1" applyAlignment="1">
      <alignment horizontal="center" vertical="center"/>
    </xf>
    <xf numFmtId="0" fontId="30" fillId="2" borderId="6" xfId="0" applyFont="1" applyFill="1" applyBorder="1" applyAlignment="1">
      <alignment horizontal="center" vertical="center"/>
    </xf>
    <xf numFmtId="0" fontId="32" fillId="2" borderId="0" xfId="0" applyFont="1" applyFill="1" applyBorder="1" applyAlignment="1">
      <alignment horizontal="center" vertical="center"/>
    </xf>
    <xf numFmtId="0" fontId="30" fillId="3" borderId="6" xfId="0" applyFont="1" applyFill="1" applyBorder="1" applyAlignment="1">
      <alignment horizontal="center" vertical="center" wrapText="1"/>
    </xf>
    <xf numFmtId="0" fontId="30" fillId="3" borderId="0" xfId="0" applyFont="1" applyFill="1" applyBorder="1" applyAlignment="1">
      <alignment horizontal="center" vertical="center"/>
    </xf>
    <xf numFmtId="3" fontId="30" fillId="3" borderId="0" xfId="0" applyNumberFormat="1" applyFont="1" applyFill="1" applyBorder="1" applyAlignment="1">
      <alignment horizontal="right" vertical="center"/>
    </xf>
    <xf numFmtId="0" fontId="30" fillId="3" borderId="0" xfId="0" applyFont="1" applyFill="1" applyBorder="1" applyAlignment="1">
      <alignment horizontal="center" vertical="center" wrapText="1"/>
    </xf>
    <xf numFmtId="3" fontId="30" fillId="3" borderId="5" xfId="0" applyNumberFormat="1" applyFont="1" applyFill="1" applyBorder="1" applyAlignment="1">
      <alignment horizontal="right" vertical="center"/>
    </xf>
    <xf numFmtId="0" fontId="30" fillId="3" borderId="6" xfId="0" applyFont="1" applyFill="1" applyBorder="1" applyAlignment="1">
      <alignment horizontal="center" vertical="center"/>
    </xf>
    <xf numFmtId="0" fontId="32" fillId="3" borderId="0" xfId="0" applyFont="1" applyFill="1" applyBorder="1" applyAlignment="1">
      <alignment horizontal="center" vertical="center"/>
    </xf>
    <xf numFmtId="0" fontId="60" fillId="0" borderId="0" xfId="0" applyFont="1" applyAlignment="1">
      <alignment/>
    </xf>
    <xf numFmtId="0" fontId="4" fillId="0" borderId="0" xfId="0" applyFont="1" applyAlignment="1">
      <alignment vertical="top"/>
    </xf>
    <xf numFmtId="0" fontId="5" fillId="0" borderId="0" xfId="0" applyFont="1" applyAlignment="1">
      <alignment horizontal="center" vertical="center" wrapText="1"/>
    </xf>
    <xf numFmtId="0" fontId="12" fillId="0" borderId="0" xfId="0" applyFont="1" applyAlignment="1">
      <alignment/>
    </xf>
    <xf numFmtId="0" fontId="33" fillId="0" borderId="0" xfId="0" applyFont="1" applyAlignment="1">
      <alignment/>
    </xf>
    <xf numFmtId="0" fontId="24" fillId="0" borderId="0" xfId="0" applyFont="1" applyAlignment="1">
      <alignment horizontal="center" wrapText="1"/>
    </xf>
    <xf numFmtId="0" fontId="48" fillId="0" borderId="0" xfId="0" applyFont="1" applyAlignment="1">
      <alignment/>
    </xf>
    <xf numFmtId="0" fontId="2" fillId="0" borderId="7" xfId="0" applyFont="1" applyBorder="1" applyAlignment="1">
      <alignment horizontal="center" vertical="center" wrapText="1"/>
    </xf>
    <xf numFmtId="3" fontId="28" fillId="4" borderId="0" xfId="0" applyNumberFormat="1" applyFont="1" applyFill="1" applyAlignment="1">
      <alignment/>
    </xf>
    <xf numFmtId="0" fontId="28" fillId="0" borderId="0" xfId="0" applyFont="1" applyAlignment="1">
      <alignment horizontal="center"/>
    </xf>
    <xf numFmtId="0" fontId="2" fillId="0" borderId="8" xfId="0" applyFont="1" applyBorder="1" applyAlignment="1">
      <alignment/>
    </xf>
    <xf numFmtId="3" fontId="28" fillId="4" borderId="8" xfId="0" applyNumberFormat="1" applyFont="1" applyFill="1" applyBorder="1" applyAlignment="1">
      <alignment/>
    </xf>
    <xf numFmtId="0" fontId="28" fillId="0" borderId="8" xfId="0" applyFont="1" applyBorder="1" applyAlignment="1">
      <alignment horizontal="center"/>
    </xf>
    <xf numFmtId="0" fontId="2" fillId="0" borderId="7" xfId="0" applyFont="1" applyBorder="1" applyAlignment="1">
      <alignment/>
    </xf>
    <xf numFmtId="0" fontId="2" fillId="0" borderId="7" xfId="0" applyFont="1" applyBorder="1" applyAlignment="1">
      <alignment horizontal="center"/>
    </xf>
    <xf numFmtId="170" fontId="28" fillId="0" borderId="7" xfId="0" applyNumberFormat="1" applyFont="1" applyBorder="1" applyAlignment="1">
      <alignment horizontal="center"/>
    </xf>
    <xf numFmtId="0" fontId="28" fillId="0" borderId="7" xfId="0" applyFont="1" applyBorder="1" applyAlignment="1">
      <alignment horizontal="center"/>
    </xf>
    <xf numFmtId="0" fontId="2" fillId="0" borderId="9" xfId="0" applyFont="1" applyBorder="1" applyAlignment="1">
      <alignment horizontal="center"/>
    </xf>
    <xf numFmtId="3" fontId="54" fillId="4" borderId="9" xfId="0" applyNumberFormat="1" applyFont="1" applyFill="1" applyBorder="1" applyAlignment="1">
      <alignment/>
    </xf>
    <xf numFmtId="0" fontId="28" fillId="0" borderId="9" xfId="0" applyFont="1" applyBorder="1" applyAlignment="1">
      <alignment horizontal="center"/>
    </xf>
    <xf numFmtId="0" fontId="2" fillId="0" borderId="0" xfId="0" applyFont="1" applyBorder="1" applyAlignment="1">
      <alignment horizontal="center"/>
    </xf>
    <xf numFmtId="3" fontId="54" fillId="4" borderId="0" xfId="0" applyNumberFormat="1" applyFont="1" applyFill="1" applyBorder="1" applyAlignment="1">
      <alignment/>
    </xf>
    <xf numFmtId="0" fontId="1" fillId="0" borderId="0" xfId="0" applyFont="1" applyBorder="1" applyAlignment="1">
      <alignment/>
    </xf>
    <xf numFmtId="3" fontId="28" fillId="4" borderId="9" xfId="0" applyNumberFormat="1" applyFont="1" applyFill="1" applyBorder="1" applyAlignment="1">
      <alignment/>
    </xf>
    <xf numFmtId="3" fontId="28" fillId="4" borderId="0" xfId="0" applyNumberFormat="1" applyFont="1" applyFill="1" applyBorder="1" applyAlignment="1">
      <alignment/>
    </xf>
    <xf numFmtId="0" fontId="28" fillId="0" borderId="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170" fontId="28" fillId="0" borderId="9" xfId="0" applyNumberFormat="1" applyFont="1" applyBorder="1" applyAlignment="1">
      <alignment horizontal="center"/>
    </xf>
    <xf numFmtId="3" fontId="28" fillId="4" borderId="9" xfId="0" applyNumberFormat="1" applyFont="1" applyFill="1" applyBorder="1" applyAlignment="1">
      <alignment horizontal="center"/>
    </xf>
    <xf numFmtId="3" fontId="28" fillId="4" borderId="8" xfId="0" applyNumberFormat="1" applyFont="1" applyFill="1" applyBorder="1" applyAlignment="1">
      <alignment horizontal="center"/>
    </xf>
    <xf numFmtId="3" fontId="28" fillId="2" borderId="0" xfId="0" applyNumberFormat="1" applyFont="1" applyFill="1" applyBorder="1" applyAlignment="1">
      <alignment/>
    </xf>
    <xf numFmtId="0" fontId="63" fillId="0" borderId="0" xfId="0" applyFont="1" applyAlignment="1">
      <alignment/>
    </xf>
    <xf numFmtId="0" fontId="64" fillId="0" borderId="0" xfId="0" applyFont="1" applyAlignment="1">
      <alignment/>
    </xf>
    <xf numFmtId="0" fontId="54" fillId="0" borderId="0" xfId="0" applyFont="1" applyAlignment="1">
      <alignment/>
    </xf>
    <xf numFmtId="168" fontId="1" fillId="4" borderId="10" xfId="15" applyNumberFormat="1" applyFont="1" applyFill="1" applyBorder="1" applyAlignment="1">
      <alignment horizontal="right" vertical="center"/>
    </xf>
    <xf numFmtId="169" fontId="1" fillId="4" borderId="10" xfId="15" applyNumberFormat="1" applyFont="1" applyFill="1" applyBorder="1" applyAlignment="1">
      <alignment horizontal="right" vertical="center"/>
    </xf>
    <xf numFmtId="169" fontId="2" fillId="4" borderId="10" xfId="15" applyNumberFormat="1" applyFont="1" applyFill="1" applyBorder="1" applyAlignment="1">
      <alignment horizontal="right" vertical="center"/>
    </xf>
    <xf numFmtId="168" fontId="1" fillId="4" borderId="11" xfId="15" applyNumberFormat="1" applyFont="1" applyFill="1" applyBorder="1" applyAlignment="1">
      <alignment horizontal="right" vertical="center"/>
    </xf>
    <xf numFmtId="0" fontId="2" fillId="4" borderId="12" xfId="0" applyFont="1" applyFill="1" applyBorder="1" applyAlignment="1">
      <alignment horizontal="centerContinuous" vertical="center"/>
    </xf>
    <xf numFmtId="170" fontId="54" fillId="4" borderId="10" xfId="15" applyNumberFormat="1" applyFont="1" applyFill="1" applyBorder="1" applyAlignment="1">
      <alignment horizontal="right" vertical="center"/>
    </xf>
    <xf numFmtId="0" fontId="1" fillId="0" borderId="0" xfId="0" applyFont="1" applyAlignment="1">
      <alignment/>
    </xf>
    <xf numFmtId="0" fontId="4" fillId="0" borderId="0" xfId="0" applyFont="1" applyAlignment="1">
      <alignment horizontal="center" vertical="center" wrapText="1"/>
    </xf>
    <xf numFmtId="0" fontId="40" fillId="2" borderId="0" xfId="0" applyFont="1" applyFill="1" applyBorder="1" applyAlignment="1">
      <alignment vertical="center"/>
    </xf>
    <xf numFmtId="0" fontId="49" fillId="2" borderId="0" xfId="0" applyFont="1" applyFill="1" applyBorder="1" applyAlignment="1">
      <alignment vertical="center"/>
    </xf>
    <xf numFmtId="0" fontId="45" fillId="0" borderId="0" xfId="0" applyFont="1" applyAlignment="1">
      <alignment horizontal="center" wrapText="1"/>
    </xf>
    <xf numFmtId="0" fontId="15" fillId="0" borderId="0" xfId="0" applyFont="1" applyAlignment="1">
      <alignment horizontal="center" wrapText="1"/>
    </xf>
    <xf numFmtId="0" fontId="32" fillId="0" borderId="0" xfId="0" applyFont="1" applyAlignment="1">
      <alignment/>
    </xf>
    <xf numFmtId="0" fontId="67" fillId="0" borderId="0" xfId="0" applyFont="1" applyAlignment="1">
      <alignment horizontal="center" wrapText="1"/>
    </xf>
    <xf numFmtId="0" fontId="1" fillId="0" borderId="0" xfId="0" applyFont="1" applyAlignment="1">
      <alignment horizontal="center"/>
    </xf>
    <xf numFmtId="0" fontId="67" fillId="5" borderId="0" xfId="0" applyFont="1" applyFill="1" applyAlignment="1">
      <alignment horizontal="center"/>
    </xf>
    <xf numFmtId="0" fontId="1" fillId="5" borderId="0" xfId="0" applyFont="1" applyFill="1" applyAlignment="1">
      <alignment horizontal="center"/>
    </xf>
    <xf numFmtId="0" fontId="72" fillId="5" borderId="13" xfId="0" applyFont="1" applyFill="1" applyBorder="1" applyAlignment="1">
      <alignment horizontal="center"/>
    </xf>
    <xf numFmtId="0" fontId="72" fillId="5" borderId="0" xfId="0" applyFont="1" applyFill="1" applyBorder="1" applyAlignment="1">
      <alignment horizontal="center"/>
    </xf>
    <xf numFmtId="0" fontId="73" fillId="5" borderId="14" xfId="0" applyFont="1" applyFill="1" applyBorder="1" applyAlignment="1">
      <alignment horizontal="center"/>
    </xf>
    <xf numFmtId="0" fontId="72" fillId="5" borderId="14" xfId="0" applyFont="1" applyFill="1" applyBorder="1" applyAlignment="1">
      <alignment horizontal="center"/>
    </xf>
    <xf numFmtId="0" fontId="72" fillId="5" borderId="15" xfId="0" applyFont="1" applyFill="1" applyBorder="1" applyAlignment="1">
      <alignment horizontal="center"/>
    </xf>
    <xf numFmtId="0" fontId="72" fillId="5" borderId="16" xfId="0" applyFont="1" applyFill="1" applyBorder="1" applyAlignment="1">
      <alignment horizontal="center"/>
    </xf>
    <xf numFmtId="0" fontId="72" fillId="5" borderId="17" xfId="0" applyFont="1" applyFill="1" applyBorder="1" applyAlignment="1">
      <alignment horizontal="center"/>
    </xf>
    <xf numFmtId="0" fontId="72" fillId="5" borderId="18" xfId="0" applyFont="1" applyFill="1" applyBorder="1" applyAlignment="1">
      <alignment horizontal="center"/>
    </xf>
    <xf numFmtId="0" fontId="72" fillId="5" borderId="19" xfId="0" applyFont="1" applyFill="1" applyBorder="1" applyAlignment="1">
      <alignment horizontal="center"/>
    </xf>
    <xf numFmtId="0" fontId="72" fillId="5" borderId="0" xfId="0" applyFont="1" applyFill="1" applyAlignment="1">
      <alignment horizontal="center"/>
    </xf>
    <xf numFmtId="0" fontId="73" fillId="5" borderId="17" xfId="0" applyFont="1" applyFill="1" applyBorder="1" applyAlignment="1">
      <alignment horizontal="center"/>
    </xf>
    <xf numFmtId="0" fontId="1" fillId="5" borderId="0" xfId="0" applyFont="1" applyFill="1" applyBorder="1" applyAlignment="1">
      <alignment horizontal="center"/>
    </xf>
    <xf numFmtId="0" fontId="74" fillId="5" borderId="0" xfId="0" applyFont="1" applyFill="1" applyBorder="1" applyAlignment="1">
      <alignment horizontal="center"/>
    </xf>
    <xf numFmtId="0" fontId="2" fillId="5" borderId="0" xfId="0" applyFont="1" applyFill="1" applyAlignment="1">
      <alignment horizontal="center"/>
    </xf>
    <xf numFmtId="0" fontId="71" fillId="5" borderId="0" xfId="0" applyFont="1" applyFill="1" applyAlignment="1">
      <alignment/>
    </xf>
    <xf numFmtId="0" fontId="1" fillId="5" borderId="0" xfId="0" applyFont="1" applyFill="1" applyAlignment="1">
      <alignment/>
    </xf>
    <xf numFmtId="0" fontId="72" fillId="5" borderId="0" xfId="0" applyFont="1" applyFill="1" applyBorder="1" applyAlignment="1">
      <alignment horizontal="center" wrapText="1"/>
    </xf>
    <xf numFmtId="0" fontId="1" fillId="4" borderId="0" xfId="0" applyFont="1" applyFill="1" applyAlignment="1">
      <alignment horizontal="left"/>
    </xf>
    <xf numFmtId="0" fontId="2" fillId="4" borderId="20" xfId="0" applyFont="1" applyFill="1" applyBorder="1" applyAlignment="1">
      <alignment horizontal="center" wrapText="1"/>
    </xf>
    <xf numFmtId="0" fontId="2" fillId="4" borderId="20" xfId="0" applyFont="1" applyFill="1" applyBorder="1" applyAlignment="1">
      <alignment wrapText="1"/>
    </xf>
    <xf numFmtId="0" fontId="28" fillId="4" borderId="0" xfId="0" applyFont="1" applyFill="1" applyAlignment="1">
      <alignment horizontal="left" vertical="center" wrapText="1"/>
    </xf>
    <xf numFmtId="0" fontId="2" fillId="4" borderId="0" xfId="0" applyFont="1" applyFill="1" applyAlignment="1">
      <alignment wrapText="1"/>
    </xf>
    <xf numFmtId="0" fontId="2" fillId="4" borderId="0" xfId="0" applyFont="1" applyFill="1" applyAlignment="1">
      <alignment horizontal="center"/>
    </xf>
    <xf numFmtId="0" fontId="2" fillId="4" borderId="0" xfId="0" applyFont="1" applyFill="1" applyAlignment="1" quotePrefix="1">
      <alignment horizontal="center"/>
    </xf>
    <xf numFmtId="0" fontId="2" fillId="4" borderId="0" xfId="0" applyFont="1" applyFill="1" applyAlignment="1" quotePrefix="1">
      <alignment horizontal="right" wrapText="1"/>
    </xf>
    <xf numFmtId="0" fontId="2" fillId="4" borderId="0" xfId="0" applyFont="1" applyFill="1" applyAlignment="1">
      <alignment horizontal="right" wrapText="1"/>
    </xf>
    <xf numFmtId="0" fontId="75" fillId="2" borderId="0" xfId="0" applyFont="1" applyFill="1" applyAlignment="1">
      <alignment/>
    </xf>
    <xf numFmtId="0" fontId="40" fillId="0" borderId="0" xfId="0" applyFont="1" applyAlignment="1">
      <alignment/>
    </xf>
    <xf numFmtId="0" fontId="30" fillId="0" borderId="0" xfId="0" applyFont="1" applyAlignment="1">
      <alignment horizontal="right"/>
    </xf>
    <xf numFmtId="0" fontId="91" fillId="0" borderId="0" xfId="0" applyFont="1" applyBorder="1" applyAlignment="1">
      <alignment/>
    </xf>
    <xf numFmtId="0" fontId="42" fillId="2" borderId="0" xfId="0" applyFont="1" applyFill="1" applyBorder="1" applyAlignment="1">
      <alignment horizontal="center" vertical="center"/>
    </xf>
    <xf numFmtId="184" fontId="91" fillId="2" borderId="0" xfId="0" applyNumberFormat="1" applyFont="1" applyFill="1" applyBorder="1" applyAlignment="1">
      <alignment horizontal="center" vertical="center"/>
    </xf>
    <xf numFmtId="3" fontId="34" fillId="0" borderId="0" xfId="0" applyNumberFormat="1" applyFont="1" applyBorder="1" applyAlignment="1">
      <alignment/>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5" fillId="0" borderId="21" xfId="0" applyFont="1" applyBorder="1" applyAlignment="1">
      <alignment horizontal="center" vertical="center"/>
    </xf>
    <xf numFmtId="0" fontId="5" fillId="0" borderId="22" xfId="0" applyFont="1" applyBorder="1" applyAlignment="1">
      <alignment horizontal="center" vertical="center"/>
    </xf>
    <xf numFmtId="1" fontId="2" fillId="0" borderId="12" xfId="0" applyNumberFormat="1" applyFont="1" applyBorder="1" applyAlignment="1">
      <alignment horizontal="center"/>
    </xf>
    <xf numFmtId="43" fontId="1" fillId="0" borderId="11" xfId="15" applyFont="1" applyBorder="1" applyAlignment="1">
      <alignment horizontal="center"/>
    </xf>
    <xf numFmtId="43" fontId="1" fillId="0" borderId="23" xfId="15" applyFont="1" applyBorder="1" applyAlignment="1">
      <alignment/>
    </xf>
    <xf numFmtId="1" fontId="30" fillId="0" borderId="24" xfId="0" applyNumberFormat="1" applyFont="1" applyBorder="1" applyAlignment="1">
      <alignment horizontal="center" vertical="center" wrapText="1"/>
    </xf>
    <xf numFmtId="0" fontId="64" fillId="0" borderId="0" xfId="0" applyFont="1" applyBorder="1" applyAlignment="1">
      <alignment/>
    </xf>
    <xf numFmtId="165" fontId="1" fillId="0" borderId="0" xfId="15" applyNumberFormat="1" applyFont="1" applyAlignment="1">
      <alignment/>
    </xf>
    <xf numFmtId="0" fontId="1" fillId="0" borderId="0" xfId="23" applyFont="1" applyBorder="1" applyAlignment="1">
      <alignment vertical="top"/>
      <protection/>
    </xf>
    <xf numFmtId="0" fontId="29" fillId="0" borderId="0" xfId="23" applyFont="1" applyBorder="1" applyAlignment="1" quotePrefix="1">
      <alignment vertical="center"/>
      <protection/>
    </xf>
    <xf numFmtId="165" fontId="30" fillId="0" borderId="0" xfId="19" applyNumberFormat="1" applyFont="1" applyBorder="1" applyAlignment="1">
      <alignment/>
    </xf>
    <xf numFmtId="0" fontId="1" fillId="0" borderId="0" xfId="23" applyFont="1">
      <alignment/>
      <protection/>
    </xf>
    <xf numFmtId="165" fontId="106" fillId="0" borderId="0" xfId="19" applyNumberFormat="1" applyFont="1" applyBorder="1" applyAlignment="1">
      <alignment horizontal="right" wrapText="1"/>
    </xf>
    <xf numFmtId="165" fontId="29" fillId="0" borderId="0" xfId="19" applyNumberFormat="1" applyFont="1" applyBorder="1" applyAlignment="1">
      <alignment/>
    </xf>
    <xf numFmtId="0" fontId="29" fillId="4" borderId="10" xfId="23" applyFont="1" applyFill="1" applyBorder="1" applyAlignment="1">
      <alignment vertical="center"/>
      <protection/>
    </xf>
    <xf numFmtId="0" fontId="2" fillId="4" borderId="10" xfId="23" applyFont="1" applyFill="1" applyBorder="1" applyAlignment="1">
      <alignment vertical="center"/>
      <protection/>
    </xf>
    <xf numFmtId="165" fontId="106" fillId="4" borderId="10" xfId="19" applyNumberFormat="1" applyFont="1" applyFill="1" applyBorder="1" applyAlignment="1">
      <alignment horizontal="right" wrapText="1"/>
    </xf>
    <xf numFmtId="0" fontId="29" fillId="4" borderId="10" xfId="23" applyFont="1" applyFill="1" applyBorder="1" applyAlignment="1" quotePrefix="1">
      <alignment horizontal="left"/>
      <protection/>
    </xf>
    <xf numFmtId="0" fontId="29" fillId="4" borderId="10" xfId="23" applyFont="1" applyFill="1" applyBorder="1" applyAlignment="1" quotePrefix="1">
      <alignment vertical="center"/>
      <protection/>
    </xf>
    <xf numFmtId="0" fontId="29" fillId="4" borderId="25" xfId="23" applyFont="1" applyFill="1" applyBorder="1" applyAlignment="1" quotePrefix="1">
      <alignment vertical="center"/>
      <protection/>
    </xf>
    <xf numFmtId="0" fontId="30" fillId="4" borderId="26" xfId="23" applyFont="1" applyFill="1" applyBorder="1" applyAlignment="1">
      <alignment horizontal="center" vertical="center"/>
      <protection/>
    </xf>
    <xf numFmtId="0" fontId="30" fillId="4" borderId="27" xfId="23" applyFont="1" applyFill="1" applyBorder="1" applyAlignment="1">
      <alignment horizontal="center" vertical="center"/>
      <protection/>
    </xf>
    <xf numFmtId="0" fontId="29" fillId="4" borderId="27" xfId="23" applyFont="1" applyFill="1" applyBorder="1" applyAlignment="1">
      <alignment horizontal="center" vertical="center"/>
      <protection/>
    </xf>
    <xf numFmtId="0" fontId="29" fillId="4" borderId="28" xfId="23" applyFont="1" applyFill="1" applyBorder="1" applyAlignment="1">
      <alignment horizontal="center" vertical="center"/>
      <protection/>
    </xf>
    <xf numFmtId="0" fontId="30" fillId="4" borderId="26" xfId="23" applyFont="1" applyFill="1" applyBorder="1" applyAlignment="1">
      <alignment horizontal="centerContinuous"/>
      <protection/>
    </xf>
    <xf numFmtId="0" fontId="30" fillId="4" borderId="27" xfId="23" applyFont="1" applyFill="1" applyBorder="1" applyAlignment="1">
      <alignment horizontal="centerContinuous"/>
      <protection/>
    </xf>
    <xf numFmtId="0" fontId="29" fillId="4" borderId="27" xfId="23" applyFont="1" applyFill="1" applyBorder="1" applyAlignment="1">
      <alignment horizontal="center"/>
      <protection/>
    </xf>
    <xf numFmtId="0" fontId="29" fillId="4" borderId="28" xfId="23" applyFont="1" applyFill="1" applyBorder="1" applyAlignment="1">
      <alignment vertical="center"/>
      <protection/>
    </xf>
    <xf numFmtId="0" fontId="29" fillId="4" borderId="27" xfId="23" applyFont="1" applyFill="1" applyBorder="1" applyAlignment="1">
      <alignment vertical="center"/>
      <protection/>
    </xf>
    <xf numFmtId="4" fontId="28" fillId="4" borderId="8" xfId="0" applyNumberFormat="1" applyFont="1" applyFill="1" applyBorder="1" applyAlignment="1">
      <alignment/>
    </xf>
    <xf numFmtId="4" fontId="28" fillId="4" borderId="9" xfId="0" applyNumberFormat="1" applyFont="1" applyFill="1" applyBorder="1" applyAlignment="1">
      <alignment/>
    </xf>
    <xf numFmtId="3" fontId="28" fillId="4" borderId="0" xfId="0" applyNumberFormat="1" applyFont="1" applyFill="1" applyBorder="1" applyAlignment="1">
      <alignment horizontal="center"/>
    </xf>
    <xf numFmtId="169" fontId="28" fillId="2" borderId="7" xfId="0" applyNumberFormat="1" applyFont="1" applyFill="1" applyBorder="1" applyAlignment="1">
      <alignment horizontal="center"/>
    </xf>
    <xf numFmtId="0" fontId="110" fillId="0" borderId="0" xfId="0" applyFont="1" applyBorder="1" applyAlignment="1">
      <alignment horizontal="center" vertical="center" wrapText="1"/>
    </xf>
    <xf numFmtId="0" fontId="44" fillId="0" borderId="0" xfId="0" applyFont="1" applyAlignment="1">
      <alignment/>
    </xf>
    <xf numFmtId="43" fontId="1" fillId="0" borderId="0" xfId="15" applyFont="1" applyAlignment="1">
      <alignment/>
    </xf>
    <xf numFmtId="0" fontId="5" fillId="0" borderId="0" xfId="0" applyFont="1" applyBorder="1" applyAlignment="1">
      <alignment vertical="center" wrapText="1"/>
    </xf>
    <xf numFmtId="0" fontId="105" fillId="0" borderId="0" xfId="0" applyFont="1" applyAlignment="1">
      <alignment/>
    </xf>
    <xf numFmtId="0" fontId="112" fillId="0" borderId="0" xfId="0" applyFont="1" applyAlignment="1">
      <alignment horizontal="centerContinuous"/>
    </xf>
    <xf numFmtId="0" fontId="112" fillId="0" borderId="0" xfId="0" applyFont="1" applyAlignment="1">
      <alignment/>
    </xf>
    <xf numFmtId="0" fontId="113" fillId="0" borderId="0" xfId="0" applyFont="1" applyAlignment="1">
      <alignment horizontal="right"/>
    </xf>
    <xf numFmtId="0" fontId="105" fillId="0" borderId="0" xfId="0" applyFont="1" applyBorder="1" applyAlignment="1">
      <alignment horizontal="center" vertical="top"/>
    </xf>
    <xf numFmtId="0" fontId="112" fillId="0" borderId="0" xfId="0" applyFont="1" applyBorder="1" applyAlignment="1" quotePrefix="1">
      <alignment horizontal="left"/>
    </xf>
    <xf numFmtId="165" fontId="114" fillId="0" borderId="0" xfId="15" applyNumberFormat="1" applyFont="1" applyBorder="1" applyAlignment="1">
      <alignment/>
    </xf>
    <xf numFmtId="165" fontId="112" fillId="0" borderId="0" xfId="15" applyNumberFormat="1" applyFont="1" applyBorder="1" applyAlignment="1">
      <alignment/>
    </xf>
    <xf numFmtId="165" fontId="114" fillId="0" borderId="0" xfId="15" applyNumberFormat="1" applyFont="1" applyBorder="1" applyAlignment="1">
      <alignment/>
    </xf>
    <xf numFmtId="0" fontId="112" fillId="4" borderId="17" xfId="0" applyFont="1" applyFill="1" applyBorder="1" applyAlignment="1">
      <alignment/>
    </xf>
    <xf numFmtId="0" fontId="114" fillId="4" borderId="29" xfId="0" applyFont="1" applyFill="1" applyBorder="1" applyAlignment="1">
      <alignment horizontal="centerContinuous"/>
    </xf>
    <xf numFmtId="0" fontId="114" fillId="4" borderId="30" xfId="0" applyFont="1" applyFill="1" applyBorder="1" applyAlignment="1">
      <alignment horizontal="centerContinuous"/>
    </xf>
    <xf numFmtId="0" fontId="114" fillId="4" borderId="31" xfId="0" applyFont="1" applyFill="1" applyBorder="1" applyAlignment="1">
      <alignment horizontal="center"/>
    </xf>
    <xf numFmtId="0" fontId="114" fillId="4" borderId="0" xfId="0" applyFont="1" applyFill="1" applyBorder="1" applyAlignment="1">
      <alignment horizontal="centerContinuous"/>
    </xf>
    <xf numFmtId="0" fontId="114" fillId="4" borderId="32" xfId="0" applyFont="1" applyFill="1" applyBorder="1" applyAlignment="1">
      <alignment horizontal="centerContinuous"/>
    </xf>
    <xf numFmtId="0" fontId="112" fillId="4" borderId="31" xfId="0" applyFont="1" applyFill="1" applyBorder="1" applyAlignment="1">
      <alignment horizontal="center"/>
    </xf>
    <xf numFmtId="0" fontId="112" fillId="4" borderId="0" xfId="0" applyFont="1" applyFill="1" applyBorder="1" applyAlignment="1">
      <alignment horizontal="centerContinuous"/>
    </xf>
    <xf numFmtId="0" fontId="112" fillId="4" borderId="32" xfId="0" applyFont="1" applyFill="1" applyBorder="1" applyAlignment="1">
      <alignment horizontal="centerContinuous"/>
    </xf>
    <xf numFmtId="0" fontId="112" fillId="4" borderId="18" xfId="0" applyFont="1" applyFill="1" applyBorder="1" applyAlignment="1">
      <alignment/>
    </xf>
    <xf numFmtId="0" fontId="112" fillId="4" borderId="20" xfId="0" applyFont="1" applyFill="1" applyBorder="1" applyAlignment="1">
      <alignment horizontal="centerContinuous"/>
    </xf>
    <xf numFmtId="0" fontId="112" fillId="4" borderId="33" xfId="0" applyFont="1" applyFill="1" applyBorder="1" applyAlignment="1">
      <alignment horizontal="centerContinuous"/>
    </xf>
    <xf numFmtId="0" fontId="112" fillId="4" borderId="34" xfId="0" applyFont="1" applyFill="1" applyBorder="1" applyAlignment="1" quotePrefix="1">
      <alignment horizontal="left"/>
    </xf>
    <xf numFmtId="165" fontId="112" fillId="4" borderId="35" xfId="15" applyNumberFormat="1" applyFont="1" applyFill="1" applyBorder="1" applyAlignment="1">
      <alignment/>
    </xf>
    <xf numFmtId="165" fontId="112" fillId="4" borderId="36" xfId="15" applyNumberFormat="1" applyFont="1" applyFill="1" applyBorder="1" applyAlignment="1">
      <alignment/>
    </xf>
    <xf numFmtId="0" fontId="112" fillId="4" borderId="37" xfId="0" applyFont="1" applyFill="1" applyBorder="1" applyAlignment="1" quotePrefix="1">
      <alignment horizontal="left"/>
    </xf>
    <xf numFmtId="165" fontId="112" fillId="4" borderId="38" xfId="15" applyNumberFormat="1" applyFont="1" applyFill="1" applyBorder="1" applyAlignment="1">
      <alignment/>
    </xf>
    <xf numFmtId="165" fontId="112" fillId="4" borderId="39" xfId="15" applyNumberFormat="1" applyFont="1" applyFill="1" applyBorder="1" applyAlignment="1">
      <alignment/>
    </xf>
    <xf numFmtId="0" fontId="112" fillId="4" borderId="40" xfId="0" applyFont="1" applyFill="1" applyBorder="1" applyAlignment="1" quotePrefix="1">
      <alignment horizontal="left"/>
    </xf>
    <xf numFmtId="0" fontId="112" fillId="4" borderId="40" xfId="0" applyFont="1" applyFill="1" applyBorder="1" applyAlignment="1">
      <alignment horizontal="left"/>
    </xf>
    <xf numFmtId="0" fontId="112" fillId="4" borderId="37" xfId="0" applyFont="1" applyFill="1" applyBorder="1" applyAlignment="1">
      <alignment horizontal="left"/>
    </xf>
    <xf numFmtId="0" fontId="112" fillId="4" borderId="41" xfId="0" applyFont="1" applyFill="1" applyBorder="1" applyAlignment="1" quotePrefix="1">
      <alignment horizontal="left"/>
    </xf>
    <xf numFmtId="165" fontId="114" fillId="4" borderId="42" xfId="15" applyNumberFormat="1" applyFont="1" applyFill="1" applyBorder="1" applyAlignment="1">
      <alignment/>
    </xf>
    <xf numFmtId="0" fontId="112" fillId="4" borderId="43" xfId="0" applyFont="1" applyFill="1" applyBorder="1" applyAlignment="1" quotePrefix="1">
      <alignment horizontal="left"/>
    </xf>
    <xf numFmtId="165" fontId="112" fillId="4" borderId="44" xfId="15" applyNumberFormat="1" applyFont="1" applyFill="1" applyBorder="1" applyAlignment="1">
      <alignment/>
    </xf>
    <xf numFmtId="165" fontId="112" fillId="4" borderId="45" xfId="15" applyNumberFormat="1" applyFont="1" applyFill="1" applyBorder="1" applyAlignment="1">
      <alignment/>
    </xf>
    <xf numFmtId="0" fontId="112" fillId="4" borderId="34" xfId="0" applyFont="1" applyFill="1" applyBorder="1" applyAlignment="1">
      <alignment horizontal="left"/>
    </xf>
    <xf numFmtId="165" fontId="112" fillId="4" borderId="46" xfId="15" applyNumberFormat="1" applyFont="1" applyFill="1" applyBorder="1" applyAlignment="1">
      <alignment/>
    </xf>
    <xf numFmtId="165" fontId="112" fillId="4" borderId="47" xfId="15" applyNumberFormat="1" applyFont="1" applyFill="1" applyBorder="1" applyAlignment="1">
      <alignment/>
    </xf>
    <xf numFmtId="0" fontId="114" fillId="4" borderId="41" xfId="0" applyFont="1" applyFill="1" applyBorder="1" applyAlignment="1" quotePrefix="1">
      <alignment horizontal="left"/>
    </xf>
    <xf numFmtId="0" fontId="105" fillId="2" borderId="0" xfId="0" applyFont="1" applyFill="1" applyBorder="1" applyAlignment="1">
      <alignment horizontal="center" vertical="top"/>
    </xf>
    <xf numFmtId="0" fontId="112" fillId="2" borderId="0" xfId="0" applyFont="1" applyFill="1" applyBorder="1" applyAlignment="1" quotePrefix="1">
      <alignment horizontal="left"/>
    </xf>
    <xf numFmtId="165" fontId="114" fillId="2" borderId="0" xfId="15" applyNumberFormat="1" applyFont="1" applyFill="1" applyBorder="1" applyAlignment="1">
      <alignment/>
    </xf>
    <xf numFmtId="0" fontId="105" fillId="2" borderId="0" xfId="0" applyFont="1" applyFill="1" applyAlignment="1">
      <alignment/>
    </xf>
    <xf numFmtId="0" fontId="112" fillId="2" borderId="0" xfId="0" applyFont="1" applyFill="1" applyAlignment="1">
      <alignment horizontal="centerContinuous"/>
    </xf>
    <xf numFmtId="0" fontId="112" fillId="2" borderId="0" xfId="0" applyFont="1" applyFill="1" applyAlignment="1">
      <alignment/>
    </xf>
    <xf numFmtId="43" fontId="113" fillId="2" borderId="0" xfId="15" applyFont="1" applyFill="1" applyAlignment="1">
      <alignment horizontal="right"/>
    </xf>
    <xf numFmtId="0" fontId="112" fillId="4" borderId="31" xfId="0" applyFont="1" applyFill="1" applyBorder="1" applyAlignment="1" quotePrefix="1">
      <alignment horizontal="left"/>
    </xf>
    <xf numFmtId="0" fontId="112" fillId="4" borderId="48" xfId="0" applyFont="1" applyFill="1" applyBorder="1" applyAlignment="1" quotePrefix="1">
      <alignment horizontal="left"/>
    </xf>
    <xf numFmtId="0" fontId="112" fillId="4" borderId="49" xfId="0" applyFont="1" applyFill="1" applyBorder="1" applyAlignment="1" quotePrefix="1">
      <alignment horizontal="left"/>
    </xf>
    <xf numFmtId="0" fontId="112" fillId="4" borderId="49" xfId="0" applyFont="1" applyFill="1" applyBorder="1" applyAlignment="1">
      <alignment horizontal="left"/>
    </xf>
    <xf numFmtId="0" fontId="112" fillId="4" borderId="48" xfId="0" applyFont="1" applyFill="1" applyBorder="1" applyAlignment="1">
      <alignment horizontal="left"/>
    </xf>
    <xf numFmtId="0" fontId="112" fillId="4" borderId="50" xfId="0" applyFont="1" applyFill="1" applyBorder="1" applyAlignment="1" quotePrefix="1">
      <alignment horizontal="left"/>
    </xf>
    <xf numFmtId="0" fontId="112" fillId="4" borderId="18" xfId="0" applyFont="1" applyFill="1" applyBorder="1" applyAlignment="1" quotePrefix="1">
      <alignment horizontal="left"/>
    </xf>
    <xf numFmtId="218" fontId="0" fillId="0" borderId="0" xfId="0" applyNumberFormat="1" applyAlignment="1">
      <alignment/>
    </xf>
    <xf numFmtId="0" fontId="116" fillId="4" borderId="0" xfId="0" applyFont="1" applyFill="1" applyBorder="1" applyAlignment="1">
      <alignment horizontal="centerContinuous"/>
    </xf>
    <xf numFmtId="0" fontId="116" fillId="4" borderId="32" xfId="0" applyFont="1" applyFill="1" applyBorder="1" applyAlignment="1">
      <alignment horizontal="centerContinuous"/>
    </xf>
    <xf numFmtId="0" fontId="116" fillId="4" borderId="20" xfId="0" applyFont="1" applyFill="1" applyBorder="1" applyAlignment="1">
      <alignment horizontal="centerContinuous"/>
    </xf>
    <xf numFmtId="0" fontId="116" fillId="4" borderId="33" xfId="0" applyFont="1" applyFill="1" applyBorder="1" applyAlignment="1">
      <alignment horizontal="centerContinuous"/>
    </xf>
    <xf numFmtId="184" fontId="29" fillId="0" borderId="0" xfId="0" applyNumberFormat="1" applyFont="1" applyAlignment="1">
      <alignment/>
    </xf>
    <xf numFmtId="3" fontId="30" fillId="2" borderId="1" xfId="0" applyNumberFormat="1" applyFont="1" applyFill="1" applyBorder="1" applyAlignment="1">
      <alignment horizontal="right" vertical="center"/>
    </xf>
    <xf numFmtId="3" fontId="30" fillId="2" borderId="51" xfId="0" applyNumberFormat="1" applyFont="1" applyFill="1" applyBorder="1" applyAlignment="1">
      <alignment horizontal="right" vertical="center"/>
    </xf>
    <xf numFmtId="0" fontId="30" fillId="2" borderId="6" xfId="0" applyFont="1" applyFill="1" applyBorder="1" applyAlignment="1">
      <alignment horizontal="center" vertical="center" wrapText="1"/>
    </xf>
    <xf numFmtId="0" fontId="1" fillId="0" borderId="0" xfId="0" applyFont="1" applyBorder="1" applyAlignment="1">
      <alignment horizontal="justify" wrapText="1"/>
    </xf>
    <xf numFmtId="43" fontId="30" fillId="2" borderId="0" xfId="15" applyFont="1" applyFill="1" applyBorder="1" applyAlignment="1">
      <alignment horizontal="right" vertical="center"/>
    </xf>
    <xf numFmtId="0" fontId="32" fillId="2" borderId="1" xfId="0" applyFont="1" applyFill="1" applyBorder="1" applyAlignment="1">
      <alignment horizontal="center" vertical="center"/>
    </xf>
    <xf numFmtId="169" fontId="28" fillId="2" borderId="0" xfId="0" applyNumberFormat="1" applyFont="1" applyFill="1" applyBorder="1" applyAlignment="1">
      <alignment horizontal="center"/>
    </xf>
    <xf numFmtId="165" fontId="29" fillId="4" borderId="10" xfId="15" applyNumberFormat="1" applyFont="1" applyFill="1" applyBorder="1" applyAlignment="1">
      <alignment/>
    </xf>
    <xf numFmtId="43" fontId="30" fillId="2" borderId="5" xfId="15" applyFont="1" applyFill="1" applyBorder="1" applyAlignment="1">
      <alignment horizontal="right" vertical="center"/>
    </xf>
    <xf numFmtId="168" fontId="1" fillId="0" borderId="52" xfId="15" applyNumberFormat="1" applyFont="1" applyFill="1" applyBorder="1" applyAlignment="1">
      <alignment horizontal="right" vertical="center"/>
    </xf>
    <xf numFmtId="0" fontId="1" fillId="0" borderId="0" xfId="0" applyFont="1" applyFill="1" applyAlignment="1">
      <alignment/>
    </xf>
    <xf numFmtId="169" fontId="2" fillId="0" borderId="53" xfId="15" applyNumberFormat="1" applyFont="1" applyFill="1" applyBorder="1" applyAlignment="1">
      <alignment horizontal="right" vertical="center"/>
    </xf>
    <xf numFmtId="0" fontId="2" fillId="0" borderId="54" xfId="0" applyFont="1" applyFill="1" applyBorder="1" applyAlignment="1">
      <alignment horizontal="centerContinuous" vertical="center"/>
    </xf>
    <xf numFmtId="168" fontId="1" fillId="0" borderId="55" xfId="15" applyNumberFormat="1" applyFont="1" applyFill="1" applyBorder="1" applyAlignment="1">
      <alignment horizontal="right" vertical="center"/>
    </xf>
    <xf numFmtId="169" fontId="1" fillId="0" borderId="55" xfId="15" applyNumberFormat="1" applyFont="1" applyFill="1" applyBorder="1" applyAlignment="1">
      <alignment horizontal="right" vertical="center"/>
    </xf>
    <xf numFmtId="0" fontId="68" fillId="4" borderId="2" xfId="0" applyFont="1" applyFill="1" applyBorder="1" applyAlignment="1">
      <alignment/>
    </xf>
    <xf numFmtId="0" fontId="4" fillId="4" borderId="3" xfId="0" applyFont="1" applyFill="1" applyBorder="1" applyAlignment="1">
      <alignment/>
    </xf>
    <xf numFmtId="0" fontId="4" fillId="4" borderId="4" xfId="0" applyFont="1" applyFill="1" applyBorder="1" applyAlignment="1">
      <alignment/>
    </xf>
    <xf numFmtId="0" fontId="68" fillId="4" borderId="6" xfId="0" applyFont="1" applyFill="1" applyBorder="1" applyAlignment="1">
      <alignment/>
    </xf>
    <xf numFmtId="0" fontId="4" fillId="4" borderId="0" xfId="0" applyFont="1" applyFill="1" applyBorder="1" applyAlignment="1">
      <alignment/>
    </xf>
    <xf numFmtId="0" fontId="4" fillId="4" borderId="5" xfId="0" applyFont="1" applyFill="1" applyBorder="1" applyAlignment="1">
      <alignment/>
    </xf>
    <xf numFmtId="3" fontId="54" fillId="0" borderId="0" xfId="22" applyFont="1" applyAlignment="1">
      <alignment horizontal="centerContinuous" vertical="center" wrapText="1"/>
      <protection/>
    </xf>
    <xf numFmtId="3" fontId="54" fillId="0" borderId="0" xfId="22" applyFont="1">
      <alignment vertical="center" wrapText="1"/>
      <protection/>
    </xf>
    <xf numFmtId="3" fontId="54" fillId="0" borderId="0" xfId="22" applyFont="1" applyAlignment="1">
      <alignment horizontal="centerContinuous" vertical="top"/>
      <protection/>
    </xf>
    <xf numFmtId="3" fontId="28" fillId="0" borderId="0" xfId="22" applyFont="1" applyAlignment="1" quotePrefix="1">
      <alignment horizontal="left" vertical="center" wrapText="1"/>
      <protection/>
    </xf>
    <xf numFmtId="3" fontId="40" fillId="4" borderId="17" xfId="22" applyFont="1" applyFill="1" applyBorder="1" applyAlignment="1">
      <alignment horizontal="center" wrapText="1"/>
      <protection/>
    </xf>
    <xf numFmtId="3" fontId="40" fillId="4" borderId="56" xfId="22" applyFont="1" applyFill="1" applyBorder="1" applyAlignment="1">
      <alignment horizontal="center" wrapText="1"/>
      <protection/>
    </xf>
    <xf numFmtId="3" fontId="57" fillId="0" borderId="0" xfId="22" applyFont="1">
      <alignment vertical="center" wrapText="1"/>
      <protection/>
    </xf>
    <xf numFmtId="3" fontId="50" fillId="4" borderId="20" xfId="22" applyFont="1" applyFill="1" applyBorder="1" applyAlignment="1">
      <alignment horizontal="center" vertical="center" wrapText="1"/>
      <protection/>
    </xf>
    <xf numFmtId="3" fontId="50" fillId="4" borderId="18" xfId="22" applyFont="1" applyFill="1" applyBorder="1" applyAlignment="1">
      <alignment horizontal="center" vertical="center" wrapText="1"/>
      <protection/>
    </xf>
    <xf numFmtId="3" fontId="50" fillId="4" borderId="57" xfId="22" applyFont="1" applyFill="1" applyBorder="1" applyAlignment="1">
      <alignment horizontal="center" vertical="center" wrapText="1"/>
      <protection/>
    </xf>
    <xf numFmtId="3" fontId="50" fillId="0" borderId="0" xfId="22" applyFont="1">
      <alignment vertical="center" wrapText="1"/>
      <protection/>
    </xf>
    <xf numFmtId="3" fontId="40" fillId="4" borderId="48" xfId="18" applyNumberFormat="1" applyFont="1" applyFill="1" applyBorder="1" applyAlignment="1" quotePrefix="1">
      <alignment horizontal="center" vertical="center"/>
    </xf>
    <xf numFmtId="3" fontId="40" fillId="4" borderId="37" xfId="22" applyFont="1" applyFill="1" applyBorder="1" applyAlignment="1" quotePrefix="1">
      <alignment vertical="center"/>
      <protection/>
    </xf>
    <xf numFmtId="3" fontId="1" fillId="4" borderId="58" xfId="24" applyNumberFormat="1" applyFont="1" applyFill="1" applyBorder="1">
      <alignment/>
      <protection/>
    </xf>
    <xf numFmtId="41" fontId="40" fillId="4" borderId="59" xfId="22" applyNumberFormat="1" applyFont="1" applyFill="1" applyBorder="1" applyAlignment="1">
      <alignment horizontal="center" vertical="center" wrapText="1"/>
      <protection/>
    </xf>
    <xf numFmtId="41" fontId="28" fillId="0" borderId="0" xfId="17" applyFont="1" applyBorder="1" applyAlignment="1">
      <alignment vertical="center"/>
    </xf>
    <xf numFmtId="3" fontId="40" fillId="4" borderId="58" xfId="18" applyNumberFormat="1" applyFont="1" applyFill="1" applyBorder="1" applyAlignment="1" quotePrefix="1">
      <alignment horizontal="center" vertical="center"/>
    </xf>
    <xf numFmtId="3" fontId="40" fillId="4" borderId="60" xfId="22" applyFont="1" applyFill="1" applyBorder="1" applyAlignment="1" quotePrefix="1">
      <alignment vertical="center"/>
      <protection/>
    </xf>
    <xf numFmtId="41" fontId="40" fillId="4" borderId="48" xfId="22" applyNumberFormat="1" applyFont="1" applyFill="1" applyBorder="1" applyAlignment="1">
      <alignment horizontal="center" vertical="center" wrapText="1"/>
      <protection/>
    </xf>
    <xf numFmtId="3" fontId="49" fillId="4" borderId="60" xfId="22" applyFont="1" applyFill="1" applyBorder="1" applyAlignment="1" quotePrefix="1">
      <alignment vertical="center"/>
      <protection/>
    </xf>
    <xf numFmtId="3" fontId="40" fillId="4" borderId="58" xfId="18" applyNumberFormat="1" applyFont="1" applyFill="1" applyBorder="1" applyAlignment="1">
      <alignment horizontal="center" vertical="center"/>
    </xf>
    <xf numFmtId="3" fontId="28" fillId="0" borderId="0" xfId="22" applyFont="1">
      <alignment vertical="center" wrapText="1"/>
      <protection/>
    </xf>
    <xf numFmtId="3" fontId="40" fillId="4" borderId="60" xfId="22" applyFont="1" applyFill="1" applyBorder="1" applyAlignment="1">
      <alignment vertical="center"/>
      <protection/>
    </xf>
    <xf numFmtId="3" fontId="54" fillId="0" borderId="0" xfId="22" applyFont="1" applyAlignment="1">
      <alignment horizontal="center" vertical="center" wrapText="1"/>
      <protection/>
    </xf>
    <xf numFmtId="41" fontId="28" fillId="0" borderId="0" xfId="17" applyFont="1" applyBorder="1" applyAlignment="1">
      <alignment horizontal="center" vertical="center"/>
    </xf>
    <xf numFmtId="3" fontId="54" fillId="0" borderId="0" xfId="22" applyFont="1" applyAlignment="1">
      <alignment horizontal="right" vertical="center" wrapText="1"/>
      <protection/>
    </xf>
    <xf numFmtId="41" fontId="28" fillId="0" borderId="0" xfId="17" applyFont="1" applyBorder="1" applyAlignment="1">
      <alignment/>
    </xf>
    <xf numFmtId="3" fontId="122" fillId="4" borderId="61" xfId="22" applyNumberFormat="1" applyFont="1" applyFill="1" applyBorder="1" applyAlignment="1">
      <alignment horizontal="center" vertical="center" wrapText="1"/>
      <protection/>
    </xf>
    <xf numFmtId="3" fontId="122" fillId="4" borderId="62" xfId="22" applyNumberFormat="1" applyFont="1" applyFill="1" applyBorder="1" applyAlignment="1">
      <alignment horizontal="center" vertical="center" wrapText="1"/>
      <protection/>
    </xf>
    <xf numFmtId="3" fontId="122" fillId="4" borderId="19" xfId="22" applyNumberFormat="1" applyFont="1" applyFill="1" applyBorder="1" applyAlignment="1">
      <alignment horizontal="center" vertical="center" wrapText="1"/>
      <protection/>
    </xf>
    <xf numFmtId="3" fontId="122" fillId="0" borderId="63" xfId="22" applyFont="1" applyFill="1" applyBorder="1" applyAlignment="1">
      <alignment horizontal="center" vertical="center" wrapText="1"/>
      <protection/>
    </xf>
    <xf numFmtId="3" fontId="122" fillId="0" borderId="64" xfId="22" applyFont="1" applyFill="1" applyBorder="1" applyAlignment="1">
      <alignment horizontal="center" vertical="center" wrapText="1"/>
      <protection/>
    </xf>
    <xf numFmtId="3" fontId="123" fillId="0" borderId="0" xfId="22" applyFont="1" applyFill="1" applyBorder="1">
      <alignment vertical="center" wrapText="1"/>
      <protection/>
    </xf>
    <xf numFmtId="3" fontId="123" fillId="0" borderId="0" xfId="22" applyFont="1" applyFill="1">
      <alignment vertical="center" wrapText="1"/>
      <protection/>
    </xf>
    <xf numFmtId="3" fontId="123" fillId="0" borderId="0" xfId="22" applyFont="1">
      <alignment vertical="center" wrapText="1"/>
      <protection/>
    </xf>
    <xf numFmtId="0" fontId="27" fillId="0" borderId="0" xfId="0" applyFont="1" applyAlignment="1">
      <alignment horizontal="center"/>
    </xf>
    <xf numFmtId="0" fontId="28" fillId="4" borderId="65" xfId="0" applyFont="1" applyFill="1" applyBorder="1" applyAlignment="1">
      <alignment horizontal="center" vertical="center"/>
    </xf>
    <xf numFmtId="0" fontId="2" fillId="4" borderId="22" xfId="0" applyFont="1" applyFill="1" applyBorder="1" applyAlignment="1">
      <alignment horizontal="center" vertical="center" wrapText="1"/>
    </xf>
    <xf numFmtId="3" fontId="28" fillId="4" borderId="10" xfId="15" applyNumberFormat="1" applyFont="1" applyFill="1" applyBorder="1" applyAlignment="1">
      <alignment horizontal="right" vertical="center"/>
    </xf>
    <xf numFmtId="167" fontId="28" fillId="4" borderId="25" xfId="15" applyNumberFormat="1" applyFont="1" applyFill="1" applyBorder="1" applyAlignment="1">
      <alignment horizontal="center" vertical="center"/>
    </xf>
    <xf numFmtId="0" fontId="5"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vertical="center" wrapText="1"/>
    </xf>
    <xf numFmtId="165" fontId="4" fillId="4" borderId="10" xfId="15" applyNumberFormat="1" applyFont="1" applyFill="1" applyBorder="1" applyAlignment="1">
      <alignment vertical="center"/>
    </xf>
    <xf numFmtId="165" fontId="4" fillId="4" borderId="11" xfId="15" applyNumberFormat="1" applyFont="1" applyFill="1" applyBorder="1" applyAlignment="1">
      <alignment vertical="center"/>
    </xf>
    <xf numFmtId="0" fontId="2" fillId="4" borderId="24" xfId="0" applyFont="1" applyFill="1" applyBorder="1" applyAlignment="1">
      <alignment vertical="center" wrapText="1"/>
    </xf>
    <xf numFmtId="165" fontId="5" fillId="4" borderId="25" xfId="15" applyNumberFormat="1" applyFont="1" applyFill="1" applyBorder="1" applyAlignment="1">
      <alignment vertical="center"/>
    </xf>
    <xf numFmtId="165" fontId="5" fillId="4" borderId="23" xfId="15" applyNumberFormat="1" applyFont="1" applyFill="1" applyBorder="1" applyAlignment="1">
      <alignment vertical="center"/>
    </xf>
    <xf numFmtId="0" fontId="1" fillId="4" borderId="21" xfId="0" applyFont="1" applyFill="1" applyBorder="1" applyAlignment="1">
      <alignment/>
    </xf>
    <xf numFmtId="0" fontId="2" fillId="4" borderId="65" xfId="0" applyFont="1" applyFill="1" applyBorder="1" applyAlignment="1">
      <alignment horizontal="center" vertical="center" wrapText="1"/>
    </xf>
    <xf numFmtId="0" fontId="6" fillId="4" borderId="21" xfId="0" applyFont="1" applyFill="1" applyBorder="1" applyAlignment="1">
      <alignment horizontal="center"/>
    </xf>
    <xf numFmtId="0" fontId="6" fillId="4" borderId="12" xfId="0" applyFont="1" applyFill="1" applyBorder="1" applyAlignment="1">
      <alignment horizontal="center"/>
    </xf>
    <xf numFmtId="0" fontId="6" fillId="4" borderId="24" xfId="0" applyFont="1" applyFill="1" applyBorder="1" applyAlignment="1">
      <alignment horizontal="center"/>
    </xf>
    <xf numFmtId="0" fontId="2" fillId="4" borderId="21" xfId="0" applyFont="1" applyFill="1" applyBorder="1" applyAlignment="1">
      <alignment horizontal="center" wrapText="1"/>
    </xf>
    <xf numFmtId="0" fontId="2" fillId="4" borderId="68" xfId="0" applyFont="1" applyFill="1" applyBorder="1" applyAlignment="1">
      <alignment horizontal="center" vertical="center" wrapText="1"/>
    </xf>
    <xf numFmtId="0" fontId="2" fillId="4" borderId="12" xfId="0" applyFont="1" applyFill="1" applyBorder="1" applyAlignment="1">
      <alignment horizontal="left" wrapText="1"/>
    </xf>
    <xf numFmtId="165" fontId="2" fillId="4" borderId="10" xfId="15" applyNumberFormat="1" applyFont="1" applyFill="1" applyBorder="1" applyAlignment="1">
      <alignment vertical="center"/>
    </xf>
    <xf numFmtId="165" fontId="2" fillId="4" borderId="69" xfId="15" applyNumberFormat="1" applyFont="1" applyFill="1" applyBorder="1" applyAlignment="1">
      <alignment vertical="center"/>
    </xf>
    <xf numFmtId="165" fontId="2" fillId="4" borderId="11" xfId="15" applyNumberFormat="1" applyFont="1" applyFill="1" applyBorder="1" applyAlignment="1">
      <alignment vertical="center"/>
    </xf>
    <xf numFmtId="0" fontId="1" fillId="4" borderId="12" xfId="0" applyFont="1" applyFill="1" applyBorder="1" applyAlignment="1">
      <alignment horizontal="left" vertical="center" wrapText="1"/>
    </xf>
    <xf numFmtId="165" fontId="1" fillId="4" borderId="10" xfId="15" applyNumberFormat="1" applyFont="1" applyFill="1" applyBorder="1" applyAlignment="1">
      <alignment vertical="center"/>
    </xf>
    <xf numFmtId="165" fontId="1" fillId="4" borderId="69" xfId="15" applyNumberFormat="1" applyFont="1" applyFill="1" applyBorder="1" applyAlignment="1">
      <alignment vertical="center"/>
    </xf>
    <xf numFmtId="165" fontId="1" fillId="4" borderId="11" xfId="15" applyNumberFormat="1" applyFont="1" applyFill="1" applyBorder="1" applyAlignment="1">
      <alignment vertical="center"/>
    </xf>
    <xf numFmtId="0" fontId="1" fillId="4" borderId="12" xfId="0" applyFont="1" applyFill="1" applyBorder="1" applyAlignment="1">
      <alignment vertical="center" wrapText="1"/>
    </xf>
    <xf numFmtId="164" fontId="1" fillId="4" borderId="10" xfId="15" applyNumberFormat="1" applyFont="1" applyFill="1" applyBorder="1" applyAlignment="1">
      <alignment vertical="center"/>
    </xf>
    <xf numFmtId="164" fontId="1" fillId="4" borderId="11" xfId="15" applyNumberFormat="1" applyFont="1" applyFill="1" applyBorder="1" applyAlignment="1">
      <alignment vertical="center"/>
    </xf>
    <xf numFmtId="165" fontId="2" fillId="4" borderId="25" xfId="0" applyNumberFormat="1" applyFont="1" applyFill="1" applyBorder="1" applyAlignment="1">
      <alignment vertical="center"/>
    </xf>
    <xf numFmtId="165" fontId="2" fillId="4" borderId="23" xfId="0" applyNumberFormat="1" applyFont="1" applyFill="1" applyBorder="1" applyAlignment="1">
      <alignment vertical="center"/>
    </xf>
    <xf numFmtId="0" fontId="30" fillId="6" borderId="12" xfId="0" applyFont="1" applyFill="1" applyBorder="1" applyAlignment="1">
      <alignment horizontal="center" vertical="center"/>
    </xf>
    <xf numFmtId="169" fontId="29" fillId="6" borderId="10" xfId="0" applyNumberFormat="1" applyFont="1" applyFill="1" applyBorder="1" applyAlignment="1">
      <alignment horizontal="right" vertical="center"/>
    </xf>
    <xf numFmtId="169" fontId="29" fillId="6" borderId="10" xfId="0" applyNumberFormat="1" applyFont="1" applyFill="1" applyBorder="1" applyAlignment="1">
      <alignment horizontal="center" vertical="center"/>
    </xf>
    <xf numFmtId="184" fontId="29" fillId="6" borderId="10" xfId="0" applyNumberFormat="1" applyFont="1" applyFill="1" applyBorder="1" applyAlignment="1">
      <alignment horizontal="center" vertical="center"/>
    </xf>
    <xf numFmtId="0" fontId="30" fillId="6" borderId="10" xfId="0" applyFont="1" applyFill="1" applyBorder="1" applyAlignment="1">
      <alignment horizontal="center" vertical="center"/>
    </xf>
    <xf numFmtId="169" fontId="29" fillId="6" borderId="11" xfId="0" applyNumberFormat="1" applyFont="1" applyFill="1" applyBorder="1" applyAlignment="1">
      <alignment horizontal="center" vertical="center"/>
    </xf>
    <xf numFmtId="169" fontId="30" fillId="6" borderId="11" xfId="0" applyNumberFormat="1" applyFont="1" applyFill="1" applyBorder="1" applyAlignment="1">
      <alignment horizontal="center" vertical="center"/>
    </xf>
    <xf numFmtId="0" fontId="30" fillId="7" borderId="21" xfId="0" applyFont="1" applyFill="1" applyBorder="1" applyAlignment="1">
      <alignment horizontal="center" vertical="center"/>
    </xf>
    <xf numFmtId="0" fontId="30" fillId="7" borderId="65" xfId="0" applyFont="1" applyFill="1" applyBorder="1" applyAlignment="1">
      <alignment horizontal="center" vertical="center"/>
    </xf>
    <xf numFmtId="0" fontId="9" fillId="7" borderId="65"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30" fillId="7" borderId="12" xfId="0" applyFont="1" applyFill="1" applyBorder="1" applyAlignment="1">
      <alignment horizontal="center" vertical="center"/>
    </xf>
    <xf numFmtId="165" fontId="30" fillId="7" borderId="10" xfId="15" applyNumberFormat="1" applyFont="1" applyFill="1" applyBorder="1" applyAlignment="1">
      <alignment horizontal="center" vertical="center"/>
    </xf>
    <xf numFmtId="165" fontId="30" fillId="7" borderId="10" xfId="0" applyNumberFormat="1" applyFont="1" applyFill="1" applyBorder="1" applyAlignment="1">
      <alignment horizontal="center" vertical="center"/>
    </xf>
    <xf numFmtId="164" fontId="30" fillId="7" borderId="10" xfId="0" applyNumberFormat="1" applyFont="1" applyFill="1" applyBorder="1" applyAlignment="1">
      <alignment horizontal="center" vertical="center"/>
    </xf>
    <xf numFmtId="164" fontId="30" fillId="7" borderId="11" xfId="0" applyNumberFormat="1" applyFont="1" applyFill="1" applyBorder="1" applyAlignment="1">
      <alignment horizontal="center" vertical="center"/>
    </xf>
    <xf numFmtId="0" fontId="30" fillId="7" borderId="24" xfId="0" applyFont="1" applyFill="1" applyBorder="1" applyAlignment="1">
      <alignment horizontal="center" vertical="center"/>
    </xf>
    <xf numFmtId="165" fontId="30" fillId="7" borderId="25" xfId="15" applyNumberFormat="1" applyFont="1" applyFill="1" applyBorder="1" applyAlignment="1">
      <alignment horizontal="center" vertical="center"/>
    </xf>
    <xf numFmtId="165" fontId="30" fillId="7" borderId="25" xfId="0" applyNumberFormat="1" applyFont="1" applyFill="1" applyBorder="1" applyAlignment="1">
      <alignment horizontal="center" vertical="center"/>
    </xf>
    <xf numFmtId="164" fontId="30" fillId="7" borderId="25" xfId="0" applyNumberFormat="1" applyFont="1" applyFill="1" applyBorder="1" applyAlignment="1">
      <alignment horizontal="center" vertical="center"/>
    </xf>
    <xf numFmtId="164" fontId="30" fillId="7" borderId="23" xfId="0" applyNumberFormat="1" applyFont="1" applyFill="1" applyBorder="1" applyAlignment="1">
      <alignment horizontal="center" vertical="center"/>
    </xf>
    <xf numFmtId="0" fontId="12" fillId="7" borderId="66" xfId="0" applyFont="1" applyFill="1" applyBorder="1" applyAlignment="1">
      <alignment horizontal="center" vertical="center"/>
    </xf>
    <xf numFmtId="0" fontId="30" fillId="7" borderId="26" xfId="0" applyFont="1" applyFill="1" applyBorder="1" applyAlignment="1">
      <alignment horizontal="center" vertical="center"/>
    </xf>
    <xf numFmtId="0" fontId="30" fillId="7" borderId="65" xfId="0" applyFont="1" applyFill="1" applyBorder="1" applyAlignment="1">
      <alignment horizontal="center" vertical="center" wrapText="1"/>
    </xf>
    <xf numFmtId="0" fontId="30" fillId="7" borderId="67" xfId="0" applyFont="1" applyFill="1" applyBorder="1" applyAlignment="1">
      <alignment horizontal="center" vertical="center"/>
    </xf>
    <xf numFmtId="0" fontId="30" fillId="7" borderId="10" xfId="0" applyFont="1" applyFill="1" applyBorder="1" applyAlignment="1">
      <alignment horizontal="center" vertical="center" wrapText="1"/>
    </xf>
    <xf numFmtId="0" fontId="30" fillId="7" borderId="28"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12" fillId="7" borderId="12" xfId="0" applyFont="1" applyFill="1" applyBorder="1" applyAlignment="1">
      <alignment horizontal="center"/>
    </xf>
    <xf numFmtId="169" fontId="27" fillId="7" borderId="10" xfId="0" applyNumberFormat="1" applyFont="1" applyFill="1" applyBorder="1" applyAlignment="1">
      <alignment/>
    </xf>
    <xf numFmtId="2" fontId="27" fillId="7" borderId="10" xfId="0" applyNumberFormat="1" applyFont="1" applyFill="1" applyBorder="1" applyAlignment="1">
      <alignment/>
    </xf>
    <xf numFmtId="0" fontId="1" fillId="7" borderId="10" xfId="0" applyFont="1" applyFill="1" applyBorder="1" applyAlignment="1">
      <alignment horizontal="center"/>
    </xf>
    <xf numFmtId="169" fontId="1" fillId="7" borderId="11" xfId="15" applyNumberFormat="1" applyFont="1" applyFill="1" applyBorder="1" applyAlignment="1">
      <alignment horizontal="center"/>
    </xf>
    <xf numFmtId="170" fontId="27" fillId="7" borderId="10" xfId="0" applyNumberFormat="1" applyFont="1" applyFill="1" applyBorder="1" applyAlignment="1">
      <alignment/>
    </xf>
    <xf numFmtId="3" fontId="27" fillId="7" borderId="10" xfId="0" applyNumberFormat="1" applyFont="1" applyFill="1" applyBorder="1" applyAlignment="1">
      <alignment/>
    </xf>
    <xf numFmtId="169" fontId="27" fillId="7" borderId="11" xfId="15" applyNumberFormat="1" applyFont="1" applyFill="1" applyBorder="1" applyAlignment="1">
      <alignment/>
    </xf>
    <xf numFmtId="0" fontId="12" fillId="7" borderId="24" xfId="0" applyFont="1" applyFill="1" applyBorder="1" applyAlignment="1">
      <alignment horizontal="center"/>
    </xf>
    <xf numFmtId="169" fontId="27" fillId="7" borderId="25" xfId="0" applyNumberFormat="1" applyFont="1" applyFill="1" applyBorder="1" applyAlignment="1">
      <alignment/>
    </xf>
    <xf numFmtId="2" fontId="27" fillId="7" borderId="25" xfId="0" applyNumberFormat="1" applyFont="1" applyFill="1" applyBorder="1" applyAlignment="1">
      <alignment/>
    </xf>
    <xf numFmtId="170" fontId="27" fillId="7" borderId="25" xfId="0" applyNumberFormat="1" applyFont="1" applyFill="1" applyBorder="1" applyAlignment="1">
      <alignment/>
    </xf>
    <xf numFmtId="3" fontId="27" fillId="7" borderId="25" xfId="0" applyNumberFormat="1" applyFont="1" applyFill="1" applyBorder="1" applyAlignment="1">
      <alignment/>
    </xf>
    <xf numFmtId="169" fontId="27" fillId="7" borderId="23" xfId="15" applyNumberFormat="1" applyFont="1" applyFill="1" applyBorder="1" applyAlignment="1">
      <alignment/>
    </xf>
    <xf numFmtId="0" fontId="40" fillId="7" borderId="69" xfId="0" applyFont="1" applyFill="1" applyBorder="1" applyAlignment="1">
      <alignment horizontal="center" vertical="center" wrapText="1"/>
    </xf>
    <xf numFmtId="0" fontId="40" fillId="7" borderId="11" xfId="0" applyFont="1" applyFill="1" applyBorder="1" applyAlignment="1">
      <alignment horizontal="center" vertical="center" wrapText="1"/>
    </xf>
    <xf numFmtId="167" fontId="28" fillId="7" borderId="12" xfId="15" applyNumberFormat="1" applyFont="1" applyFill="1" applyBorder="1" applyAlignment="1">
      <alignment vertical="center"/>
    </xf>
    <xf numFmtId="3" fontId="31" fillId="7" borderId="10" xfId="15" applyNumberFormat="1" applyFont="1" applyFill="1" applyBorder="1" applyAlignment="1">
      <alignment horizontal="right" vertical="center"/>
    </xf>
    <xf numFmtId="165" fontId="31" fillId="7" borderId="10" xfId="15" applyNumberFormat="1" applyFont="1" applyFill="1" applyBorder="1" applyAlignment="1">
      <alignment horizontal="center" vertical="center"/>
    </xf>
    <xf numFmtId="165" fontId="31" fillId="7" borderId="69" xfId="15" applyNumberFormat="1" applyFont="1" applyFill="1" applyBorder="1" applyAlignment="1">
      <alignment horizontal="center" vertical="center"/>
    </xf>
    <xf numFmtId="165" fontId="31" fillId="7" borderId="11" xfId="15" applyNumberFormat="1" applyFont="1" applyFill="1" applyBorder="1" applyAlignment="1">
      <alignment horizontal="center" vertical="center"/>
    </xf>
    <xf numFmtId="167" fontId="28" fillId="7" borderId="24" xfId="15" applyNumberFormat="1" applyFont="1" applyFill="1" applyBorder="1" applyAlignment="1">
      <alignment vertical="center"/>
    </xf>
    <xf numFmtId="3" fontId="35" fillId="7" borderId="25" xfId="15" applyNumberFormat="1" applyFont="1" applyFill="1" applyBorder="1" applyAlignment="1">
      <alignment horizontal="right" vertical="center"/>
    </xf>
    <xf numFmtId="165" fontId="35" fillId="7" borderId="25" xfId="15" applyNumberFormat="1" applyFont="1" applyFill="1" applyBorder="1" applyAlignment="1">
      <alignment horizontal="center" vertical="center"/>
    </xf>
    <xf numFmtId="165" fontId="35" fillId="7" borderId="70" xfId="15" applyNumberFormat="1" applyFont="1" applyFill="1" applyBorder="1" applyAlignment="1">
      <alignment horizontal="center" vertical="center"/>
    </xf>
    <xf numFmtId="165" fontId="35" fillId="7" borderId="23" xfId="15" applyNumberFormat="1" applyFont="1" applyFill="1" applyBorder="1" applyAlignment="1">
      <alignment horizontal="center" vertical="center"/>
    </xf>
    <xf numFmtId="0" fontId="9" fillId="7" borderId="21" xfId="0" applyFont="1" applyFill="1" applyBorder="1" applyAlignment="1">
      <alignment horizontal="left" vertical="center"/>
    </xf>
    <xf numFmtId="0" fontId="9" fillId="7" borderId="12" xfId="0" applyFont="1" applyFill="1" applyBorder="1" applyAlignment="1">
      <alignment horizontal="left"/>
    </xf>
    <xf numFmtId="168" fontId="48" fillId="7" borderId="10" xfId="15" applyNumberFormat="1" applyFont="1" applyFill="1" applyBorder="1" applyAlignment="1">
      <alignment horizontal="center" vertical="center" wrapText="1"/>
    </xf>
    <xf numFmtId="168" fontId="48" fillId="7" borderId="11" xfId="15" applyNumberFormat="1" applyFont="1" applyFill="1" applyBorder="1" applyAlignment="1">
      <alignment horizontal="center" vertical="center" wrapText="1"/>
    </xf>
    <xf numFmtId="0" fontId="49" fillId="7" borderId="12" xfId="0" applyFont="1" applyFill="1" applyBorder="1" applyAlignment="1">
      <alignment horizontal="left"/>
    </xf>
    <xf numFmtId="168" fontId="50" fillId="7" borderId="10" xfId="15" applyNumberFormat="1" applyFont="1" applyFill="1" applyBorder="1" applyAlignment="1">
      <alignment horizontal="center" vertical="center" wrapText="1"/>
    </xf>
    <xf numFmtId="168" fontId="50" fillId="7" borderId="11" xfId="15" applyNumberFormat="1" applyFont="1" applyFill="1" applyBorder="1" applyAlignment="1">
      <alignment horizontal="center" vertical="center" wrapText="1"/>
    </xf>
    <xf numFmtId="0" fontId="9" fillId="7" borderId="24" xfId="0" applyFont="1" applyFill="1" applyBorder="1" applyAlignment="1">
      <alignment horizontal="left"/>
    </xf>
    <xf numFmtId="168" fontId="9" fillId="7" borderId="25" xfId="0" applyNumberFormat="1" applyFont="1" applyFill="1" applyBorder="1" applyAlignment="1">
      <alignment horizontal="center"/>
    </xf>
    <xf numFmtId="168" fontId="9" fillId="7" borderId="25" xfId="15" applyNumberFormat="1" applyFont="1" applyFill="1" applyBorder="1" applyAlignment="1">
      <alignment horizontal="center" vertical="center"/>
    </xf>
    <xf numFmtId="168" fontId="9" fillId="7" borderId="23" xfId="15" applyNumberFormat="1" applyFont="1" applyFill="1" applyBorder="1" applyAlignment="1">
      <alignment horizontal="center" vertical="center"/>
    </xf>
    <xf numFmtId="0" fontId="9" fillId="7" borderId="21" xfId="0" applyFont="1" applyFill="1" applyBorder="1" applyAlignment="1">
      <alignment horizontal="left"/>
    </xf>
    <xf numFmtId="0" fontId="9" fillId="7" borderId="68" xfId="0" applyFont="1" applyFill="1" applyBorder="1" applyAlignment="1">
      <alignment horizontal="center" vertical="center" wrapText="1"/>
    </xf>
    <xf numFmtId="167" fontId="48" fillId="7" borderId="10" xfId="15" applyNumberFormat="1" applyFont="1" applyFill="1" applyBorder="1" applyAlignment="1">
      <alignment horizontal="center" vertical="center" wrapText="1"/>
    </xf>
    <xf numFmtId="167" fontId="48" fillId="7" borderId="69" xfId="15" applyNumberFormat="1" applyFont="1" applyFill="1" applyBorder="1" applyAlignment="1">
      <alignment horizontal="center" vertical="center" wrapText="1"/>
    </xf>
    <xf numFmtId="167" fontId="48" fillId="7" borderId="11" xfId="15" applyNumberFormat="1" applyFont="1" applyFill="1" applyBorder="1" applyAlignment="1">
      <alignment horizontal="center" vertical="center" wrapText="1"/>
    </xf>
    <xf numFmtId="167" fontId="9" fillId="7" borderId="25" xfId="15" applyNumberFormat="1" applyFont="1" applyFill="1" applyBorder="1" applyAlignment="1">
      <alignment horizontal="center" vertical="center"/>
    </xf>
    <xf numFmtId="167" fontId="9" fillId="7" borderId="23" xfId="15" applyNumberFormat="1" applyFont="1" applyFill="1" applyBorder="1" applyAlignment="1">
      <alignment horizontal="center" vertical="center"/>
    </xf>
    <xf numFmtId="0" fontId="28" fillId="7" borderId="21" xfId="0" applyFont="1" applyFill="1" applyBorder="1" applyAlignment="1">
      <alignment horizontal="left" vertical="center" wrapText="1"/>
    </xf>
    <xf numFmtId="0" fontId="2" fillId="7" borderId="65" xfId="15" applyNumberFormat="1" applyFont="1" applyFill="1" applyBorder="1" applyAlignment="1">
      <alignment horizontal="center" vertical="center"/>
    </xf>
    <xf numFmtId="0" fontId="28" fillId="7" borderId="65" xfId="0" applyFont="1" applyFill="1" applyBorder="1" applyAlignment="1">
      <alignment horizontal="center" vertical="center" wrapText="1"/>
    </xf>
    <xf numFmtId="0" fontId="2" fillId="7" borderId="65" xfId="0" applyFont="1" applyFill="1" applyBorder="1" applyAlignment="1">
      <alignment horizontal="center" vertical="center" wrapText="1"/>
    </xf>
    <xf numFmtId="0" fontId="2" fillId="7" borderId="68" xfId="0" applyFont="1" applyFill="1" applyBorder="1" applyAlignment="1">
      <alignment horizontal="left" vertical="center"/>
    </xf>
    <xf numFmtId="0" fontId="2" fillId="7" borderId="71" xfId="0" applyFont="1" applyFill="1" applyBorder="1" applyAlignment="1">
      <alignment horizontal="left" vertical="center"/>
    </xf>
    <xf numFmtId="0" fontId="28" fillId="7" borderId="12" xfId="0" applyFont="1" applyFill="1" applyBorder="1" applyAlignment="1">
      <alignment horizontal="left" vertical="center" wrapText="1"/>
    </xf>
    <xf numFmtId="165" fontId="2" fillId="7" borderId="10" xfId="15" applyNumberFormat="1" applyFont="1" applyFill="1" applyBorder="1" applyAlignment="1">
      <alignment horizontal="center" vertical="center"/>
    </xf>
    <xf numFmtId="0" fontId="2" fillId="7" borderId="69" xfId="0" applyFont="1" applyFill="1" applyBorder="1" applyAlignment="1">
      <alignment horizontal="left" vertical="center"/>
    </xf>
    <xf numFmtId="0" fontId="2" fillId="7" borderId="72" xfId="0" applyFont="1" applyFill="1" applyBorder="1" applyAlignment="1">
      <alignment horizontal="left" vertical="center"/>
    </xf>
    <xf numFmtId="3" fontId="56" fillId="7" borderId="10" xfId="0" applyNumberFormat="1" applyFont="1" applyFill="1" applyBorder="1" applyAlignment="1">
      <alignment horizontal="right" vertical="center" wrapText="1"/>
    </xf>
    <xf numFmtId="3" fontId="56" fillId="7" borderId="10" xfId="0" applyNumberFormat="1" applyFont="1" applyFill="1" applyBorder="1" applyAlignment="1">
      <alignment horizontal="right" vertical="center"/>
    </xf>
    <xf numFmtId="0" fontId="24" fillId="7" borderId="69" xfId="0" applyFont="1" applyFill="1" applyBorder="1" applyAlignment="1">
      <alignment horizontal="left" vertical="center"/>
    </xf>
    <xf numFmtId="0" fontId="24" fillId="7" borderId="72" xfId="0" applyFont="1" applyFill="1" applyBorder="1" applyAlignment="1">
      <alignment horizontal="left" vertical="center"/>
    </xf>
    <xf numFmtId="3" fontId="24" fillId="7" borderId="10" xfId="0" applyNumberFormat="1" applyFont="1" applyFill="1" applyBorder="1" applyAlignment="1">
      <alignment horizontal="right" vertical="center" wrapText="1"/>
    </xf>
    <xf numFmtId="0" fontId="28" fillId="7" borderId="24" xfId="0" applyFont="1" applyFill="1" applyBorder="1" applyAlignment="1">
      <alignment horizontal="left" vertical="center" wrapText="1"/>
    </xf>
    <xf numFmtId="165" fontId="2" fillId="7" borderId="25" xfId="15" applyNumberFormat="1" applyFont="1" applyFill="1" applyBorder="1" applyAlignment="1">
      <alignment horizontal="center" vertical="center"/>
    </xf>
    <xf numFmtId="0" fontId="2" fillId="7" borderId="70" xfId="0" applyFont="1" applyFill="1" applyBorder="1" applyAlignment="1">
      <alignment horizontal="left" vertical="center" wrapText="1"/>
    </xf>
    <xf numFmtId="0" fontId="2" fillId="7" borderId="73" xfId="0" applyFont="1" applyFill="1" applyBorder="1" applyAlignment="1">
      <alignment horizontal="left" vertical="center" wrapText="1"/>
    </xf>
    <xf numFmtId="0" fontId="31" fillId="7" borderId="12" xfId="0" applyFont="1" applyFill="1" applyBorder="1" applyAlignment="1">
      <alignment/>
    </xf>
    <xf numFmtId="43" fontId="31" fillId="7" borderId="10" xfId="15" applyFont="1" applyFill="1" applyBorder="1" applyAlignment="1">
      <alignment horizontal="right"/>
    </xf>
    <xf numFmtId="165" fontId="29" fillId="7" borderId="21" xfId="15" applyNumberFormat="1" applyFont="1" applyFill="1" applyBorder="1" applyAlignment="1">
      <alignment horizontal="center" vertical="center"/>
    </xf>
    <xf numFmtId="0" fontId="30" fillId="7" borderId="65" xfId="15" applyNumberFormat="1" applyFont="1" applyFill="1" applyBorder="1" applyAlignment="1">
      <alignment horizontal="center" vertical="center"/>
    </xf>
    <xf numFmtId="0" fontId="40" fillId="7" borderId="12" xfId="0" applyFont="1" applyFill="1" applyBorder="1" applyAlignment="1">
      <alignment horizontal="left" vertical="center" wrapText="1"/>
    </xf>
    <xf numFmtId="165" fontId="29" fillId="7" borderId="10" xfId="15" applyNumberFormat="1" applyFont="1" applyFill="1" applyBorder="1" applyAlignment="1">
      <alignment horizontal="right" vertical="center"/>
    </xf>
    <xf numFmtId="0" fontId="40" fillId="7" borderId="24" xfId="0" applyFont="1" applyFill="1" applyBorder="1" applyAlignment="1">
      <alignment horizontal="left" vertical="center" wrapText="1"/>
    </xf>
    <xf numFmtId="165" fontId="29" fillId="7" borderId="25" xfId="15" applyNumberFormat="1" applyFont="1" applyFill="1" applyBorder="1" applyAlignment="1">
      <alignment horizontal="right" vertical="center"/>
    </xf>
    <xf numFmtId="0" fontId="1" fillId="7" borderId="6" xfId="0" applyFont="1" applyFill="1" applyBorder="1" applyAlignment="1">
      <alignment wrapText="1"/>
    </xf>
    <xf numFmtId="42" fontId="2" fillId="7" borderId="0" xfId="0" applyNumberFormat="1" applyFont="1" applyFill="1" applyBorder="1" applyAlignment="1">
      <alignment horizontal="center" vertical="center" wrapText="1"/>
    </xf>
    <xf numFmtId="2" fontId="2" fillId="7" borderId="0" xfId="0" applyNumberFormat="1" applyFont="1" applyFill="1" applyBorder="1" applyAlignment="1">
      <alignment horizontal="right" vertical="center" wrapText="1"/>
    </xf>
    <xf numFmtId="2" fontId="2" fillId="7" borderId="0" xfId="0" applyNumberFormat="1" applyFont="1" applyFill="1" applyBorder="1" applyAlignment="1">
      <alignment vertical="center" wrapText="1"/>
    </xf>
    <xf numFmtId="0" fontId="1" fillId="7" borderId="0" xfId="0" applyFont="1" applyFill="1" applyBorder="1" applyAlignment="1">
      <alignment wrapText="1"/>
    </xf>
    <xf numFmtId="0" fontId="1" fillId="7" borderId="5" xfId="0" applyFont="1" applyFill="1" applyBorder="1" applyAlignment="1">
      <alignment/>
    </xf>
    <xf numFmtId="0" fontId="1" fillId="7" borderId="6" xfId="0" applyFont="1" applyFill="1" applyBorder="1" applyAlignment="1">
      <alignment/>
    </xf>
    <xf numFmtId="0" fontId="2" fillId="7" borderId="0" xfId="0" applyFont="1" applyFill="1" applyBorder="1" applyAlignment="1">
      <alignment/>
    </xf>
    <xf numFmtId="165" fontId="2" fillId="7" borderId="0" xfId="15" applyNumberFormat="1" applyFont="1" applyFill="1" applyBorder="1" applyAlignment="1">
      <alignment/>
    </xf>
    <xf numFmtId="0" fontId="2" fillId="7" borderId="5" xfId="0" applyFont="1" applyFill="1" applyBorder="1" applyAlignment="1">
      <alignment/>
    </xf>
    <xf numFmtId="0" fontId="1" fillId="7" borderId="6" xfId="0" applyFont="1" applyFill="1" applyBorder="1" applyAlignment="1">
      <alignment horizontal="right"/>
    </xf>
    <xf numFmtId="43" fontId="2" fillId="7" borderId="0" xfId="15" applyNumberFormat="1" applyFont="1" applyFill="1" applyBorder="1" applyAlignment="1">
      <alignment/>
    </xf>
    <xf numFmtId="0" fontId="1" fillId="7" borderId="74" xfId="0" applyFont="1" applyFill="1" applyBorder="1" applyAlignment="1">
      <alignment/>
    </xf>
    <xf numFmtId="0" fontId="2" fillId="7" borderId="1" xfId="0" applyFont="1" applyFill="1" applyBorder="1" applyAlignment="1">
      <alignment/>
    </xf>
    <xf numFmtId="43" fontId="2" fillId="7" borderId="1" xfId="15" applyNumberFormat="1" applyFont="1" applyFill="1" applyBorder="1" applyAlignment="1">
      <alignment/>
    </xf>
    <xf numFmtId="0" fontId="2" fillId="7" borderId="51" xfId="0" applyFont="1" applyFill="1" applyBorder="1" applyAlignment="1">
      <alignment/>
    </xf>
    <xf numFmtId="0" fontId="40" fillId="7" borderId="21" xfId="0" applyFont="1" applyFill="1" applyBorder="1" applyAlignment="1">
      <alignment horizontal="left" vertical="center" wrapText="1"/>
    </xf>
    <xf numFmtId="0" fontId="40" fillId="7" borderId="65" xfId="0" applyFont="1" applyFill="1" applyBorder="1" applyAlignment="1">
      <alignment horizontal="center" vertical="center" wrapText="1"/>
    </xf>
    <xf numFmtId="0" fontId="49" fillId="7" borderId="65" xfId="0" applyFont="1" applyFill="1" applyBorder="1" applyAlignment="1">
      <alignment horizontal="center" vertical="center" wrapText="1"/>
    </xf>
    <xf numFmtId="0" fontId="49" fillId="7" borderId="22" xfId="0" applyFont="1" applyFill="1" applyBorder="1" applyAlignment="1">
      <alignment horizontal="center" vertical="center" wrapText="1"/>
    </xf>
    <xf numFmtId="0" fontId="40" fillId="7" borderId="12" xfId="0" applyFont="1" applyFill="1" applyBorder="1" applyAlignment="1">
      <alignment horizontal="left" vertical="center"/>
    </xf>
    <xf numFmtId="167" fontId="57" fillId="7" borderId="10" xfId="15" applyNumberFormat="1" applyFont="1" applyFill="1" applyBorder="1" applyAlignment="1">
      <alignment horizontal="center" vertical="center"/>
    </xf>
    <xf numFmtId="169" fontId="57" fillId="7" borderId="10" xfId="15" applyNumberFormat="1" applyFont="1" applyFill="1" applyBorder="1" applyAlignment="1">
      <alignment horizontal="right" vertical="center"/>
    </xf>
    <xf numFmtId="167" fontId="29" fillId="7" borderId="10" xfId="15" applyNumberFormat="1" applyFont="1" applyFill="1" applyBorder="1" applyAlignment="1">
      <alignment horizontal="center" vertical="center"/>
    </xf>
    <xf numFmtId="169" fontId="57" fillId="7" borderId="11" xfId="15" applyNumberFormat="1" applyFont="1" applyFill="1" applyBorder="1" applyAlignment="1">
      <alignment horizontal="right" vertical="center"/>
    </xf>
    <xf numFmtId="0" fontId="40" fillId="7" borderId="24" xfId="0" applyFont="1" applyFill="1" applyBorder="1" applyAlignment="1">
      <alignment horizontal="left" vertical="center"/>
    </xf>
    <xf numFmtId="167" fontId="40" fillId="7" borderId="25" xfId="15" applyNumberFormat="1" applyFont="1" applyFill="1" applyBorder="1" applyAlignment="1">
      <alignment horizontal="center" vertical="center"/>
    </xf>
    <xf numFmtId="169" fontId="40" fillId="7" borderId="25" xfId="15" applyNumberFormat="1" applyFont="1" applyFill="1" applyBorder="1" applyAlignment="1">
      <alignment horizontal="right" vertical="center"/>
    </xf>
    <xf numFmtId="167" fontId="30" fillId="7" borderId="25" xfId="15" applyNumberFormat="1" applyFont="1" applyFill="1" applyBorder="1" applyAlignment="1">
      <alignment horizontal="center" vertical="center"/>
    </xf>
    <xf numFmtId="168" fontId="40" fillId="7" borderId="23" xfId="15" applyNumberFormat="1" applyFont="1" applyFill="1" applyBorder="1" applyAlignment="1">
      <alignment horizontal="center" vertical="center"/>
    </xf>
    <xf numFmtId="0" fontId="2" fillId="7" borderId="12" xfId="0" applyFont="1" applyFill="1" applyBorder="1" applyAlignment="1">
      <alignment horizontal="center" vertical="center"/>
    </xf>
    <xf numFmtId="168" fontId="1" fillId="7" borderId="10" xfId="15" applyNumberFormat="1" applyFont="1" applyFill="1" applyBorder="1" applyAlignment="1">
      <alignment horizontal="right" vertical="center"/>
    </xf>
    <xf numFmtId="169" fontId="1" fillId="7" borderId="10" xfId="15" applyNumberFormat="1" applyFont="1" applyFill="1" applyBorder="1" applyAlignment="1">
      <alignment horizontal="right" vertical="center"/>
    </xf>
    <xf numFmtId="169" fontId="2" fillId="7" borderId="10" xfId="15" applyNumberFormat="1" applyFont="1" applyFill="1" applyBorder="1" applyAlignment="1">
      <alignment horizontal="right" vertical="center"/>
    </xf>
    <xf numFmtId="168" fontId="1" fillId="7" borderId="11" xfId="15" applyNumberFormat="1" applyFont="1" applyFill="1" applyBorder="1" applyAlignment="1">
      <alignment horizontal="right" vertical="center"/>
    </xf>
    <xf numFmtId="0" fontId="2" fillId="7" borderId="12" xfId="0" applyFont="1" applyFill="1" applyBorder="1" applyAlignment="1">
      <alignment horizontal="centerContinuous" vertical="center"/>
    </xf>
    <xf numFmtId="0" fontId="2" fillId="7" borderId="24" xfId="0" applyFont="1" applyFill="1" applyBorder="1" applyAlignment="1">
      <alignment horizontal="centerContinuous" vertical="center"/>
    </xf>
    <xf numFmtId="168" fontId="1" fillId="7" borderId="25" xfId="15" applyNumberFormat="1" applyFont="1" applyFill="1" applyBorder="1" applyAlignment="1">
      <alignment horizontal="right" vertical="center"/>
    </xf>
    <xf numFmtId="169" fontId="1" fillId="7" borderId="25" xfId="15" applyNumberFormat="1" applyFont="1" applyFill="1" applyBorder="1" applyAlignment="1">
      <alignment horizontal="right" vertical="center"/>
    </xf>
    <xf numFmtId="169" fontId="2" fillId="7" borderId="25" xfId="15" applyNumberFormat="1" applyFont="1" applyFill="1" applyBorder="1" applyAlignment="1">
      <alignment horizontal="right" vertical="center"/>
    </xf>
    <xf numFmtId="168" fontId="1" fillId="7" borderId="23" xfId="15" applyNumberFormat="1" applyFont="1" applyFill="1" applyBorder="1" applyAlignment="1">
      <alignment horizontal="right" vertical="center"/>
    </xf>
    <xf numFmtId="0" fontId="1" fillId="7" borderId="26" xfId="0" applyFont="1" applyFill="1" applyBorder="1" applyAlignment="1">
      <alignment/>
    </xf>
    <xf numFmtId="0" fontId="1" fillId="7" borderId="75" xfId="0" applyFont="1" applyFill="1" applyBorder="1" applyAlignment="1">
      <alignment/>
    </xf>
    <xf numFmtId="0" fontId="49" fillId="7" borderId="28" xfId="0" applyFont="1" applyFill="1" applyBorder="1" applyAlignment="1">
      <alignment horizontal="center" vertical="center" wrapText="1"/>
    </xf>
    <xf numFmtId="0" fontId="49" fillId="7" borderId="10" xfId="0" applyFont="1" applyFill="1" applyBorder="1" applyAlignment="1">
      <alignment horizontal="center" vertical="center" wrapText="1"/>
    </xf>
    <xf numFmtId="0" fontId="49" fillId="7" borderId="76" xfId="0" applyFont="1" applyFill="1" applyBorder="1" applyAlignment="1">
      <alignment horizontal="center" vertical="center" wrapText="1"/>
    </xf>
    <xf numFmtId="0" fontId="40" fillId="7" borderId="12" xfId="0" applyFont="1" applyFill="1" applyBorder="1" applyAlignment="1">
      <alignment horizontal="center" vertical="center"/>
    </xf>
    <xf numFmtId="169" fontId="40" fillId="7" borderId="10" xfId="15" applyNumberFormat="1" applyFont="1" applyFill="1" applyBorder="1" applyAlignment="1">
      <alignment horizontal="center" vertical="center"/>
    </xf>
    <xf numFmtId="169" fontId="40" fillId="7" borderId="10" xfId="15" applyNumberFormat="1" applyFont="1" applyFill="1" applyBorder="1" applyAlignment="1">
      <alignment horizontal="right" vertical="center"/>
    </xf>
    <xf numFmtId="169" fontId="40" fillId="7" borderId="11" xfId="15" applyNumberFormat="1" applyFont="1" applyFill="1" applyBorder="1" applyAlignment="1">
      <alignment horizontal="right" vertical="center"/>
    </xf>
    <xf numFmtId="0" fontId="40" fillId="7" borderId="12" xfId="0" applyFont="1" applyFill="1" applyBorder="1" applyAlignment="1">
      <alignment horizontal="centerContinuous" vertical="center"/>
    </xf>
    <xf numFmtId="0" fontId="40" fillId="7" borderId="12" xfId="0" applyFont="1" applyFill="1" applyBorder="1" applyAlignment="1">
      <alignment horizontal="center" vertical="center" wrapText="1"/>
    </xf>
    <xf numFmtId="169" fontId="57" fillId="7" borderId="28" xfId="15" applyNumberFormat="1" applyFont="1" applyFill="1" applyBorder="1" applyAlignment="1">
      <alignment horizontal="right" vertical="center"/>
    </xf>
    <xf numFmtId="169" fontId="57" fillId="7" borderId="76" xfId="15" applyNumberFormat="1" applyFont="1" applyFill="1" applyBorder="1" applyAlignment="1">
      <alignment horizontal="right" vertical="center"/>
    </xf>
    <xf numFmtId="0" fontId="30" fillId="7" borderId="65" xfId="0" applyNumberFormat="1" applyFont="1" applyFill="1" applyBorder="1" applyAlignment="1">
      <alignment horizontal="center" vertical="center" wrapText="1"/>
    </xf>
    <xf numFmtId="0" fontId="9" fillId="7" borderId="22" xfId="0" applyNumberFormat="1" applyFont="1" applyFill="1" applyBorder="1" applyAlignment="1">
      <alignment horizontal="center" vertical="center" wrapText="1"/>
    </xf>
    <xf numFmtId="0" fontId="49" fillId="7" borderId="12" xfId="0" applyFont="1" applyFill="1" applyBorder="1" applyAlignment="1">
      <alignment horizontal="left" vertical="center"/>
    </xf>
    <xf numFmtId="196" fontId="29" fillId="7" borderId="10" xfId="15" applyNumberFormat="1" applyFont="1" applyFill="1" applyBorder="1" applyAlignment="1">
      <alignment horizontal="right"/>
    </xf>
    <xf numFmtId="196" fontId="29" fillId="7" borderId="11" xfId="15" applyNumberFormat="1" applyFont="1" applyFill="1" applyBorder="1" applyAlignment="1">
      <alignment horizontal="right"/>
    </xf>
    <xf numFmtId="0" fontId="49" fillId="7" borderId="24" xfId="0" applyFont="1" applyFill="1" applyBorder="1" applyAlignment="1">
      <alignment horizontal="left" vertical="center"/>
    </xf>
    <xf numFmtId="196" fontId="29" fillId="7" borderId="25" xfId="15" applyNumberFormat="1" applyFont="1" applyFill="1" applyBorder="1" applyAlignment="1">
      <alignment horizontal="right"/>
    </xf>
    <xf numFmtId="196" fontId="29" fillId="7" borderId="23" xfId="15" applyNumberFormat="1" applyFont="1" applyFill="1" applyBorder="1" applyAlignment="1">
      <alignment horizontal="right"/>
    </xf>
    <xf numFmtId="0" fontId="49" fillId="7" borderId="10" xfId="0" applyFont="1" applyFill="1" applyBorder="1" applyAlignment="1">
      <alignment horizontal="center" vertical="center"/>
    </xf>
    <xf numFmtId="0" fontId="40" fillId="7" borderId="10"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12" xfId="0" applyFont="1" applyFill="1" applyBorder="1" applyAlignment="1">
      <alignment vertical="center"/>
    </xf>
    <xf numFmtId="3" fontId="29" fillId="7" borderId="10" xfId="0" applyNumberFormat="1" applyFont="1" applyFill="1" applyBorder="1" applyAlignment="1">
      <alignment horizontal="right" vertical="center"/>
    </xf>
    <xf numFmtId="3" fontId="29" fillId="7" borderId="11" xfId="0" applyNumberFormat="1" applyFont="1" applyFill="1" applyBorder="1" applyAlignment="1">
      <alignment horizontal="right" vertical="center"/>
    </xf>
    <xf numFmtId="0" fontId="40" fillId="7" borderId="24" xfId="0" applyFont="1" applyFill="1" applyBorder="1" applyAlignment="1">
      <alignment vertical="center"/>
    </xf>
    <xf numFmtId="3" fontId="30" fillId="7" borderId="25" xfId="0" applyNumberFormat="1" applyFont="1" applyFill="1" applyBorder="1" applyAlignment="1">
      <alignment horizontal="right" vertical="center"/>
    </xf>
    <xf numFmtId="3" fontId="30" fillId="7" borderId="23" xfId="0" applyNumberFormat="1" applyFont="1" applyFill="1" applyBorder="1" applyAlignment="1">
      <alignment horizontal="right" vertical="center"/>
    </xf>
    <xf numFmtId="3" fontId="57" fillId="7" borderId="10" xfId="0" applyNumberFormat="1" applyFont="1" applyFill="1" applyBorder="1" applyAlignment="1">
      <alignment horizontal="right" vertical="center"/>
    </xf>
    <xf numFmtId="3" fontId="40" fillId="7" borderId="25" xfId="0" applyNumberFormat="1" applyFont="1" applyFill="1" applyBorder="1" applyAlignment="1">
      <alignment horizontal="right" vertical="center"/>
    </xf>
    <xf numFmtId="3" fontId="57" fillId="7" borderId="25" xfId="0" applyNumberFormat="1" applyFont="1" applyFill="1" applyBorder="1" applyAlignment="1">
      <alignment horizontal="right" vertical="center"/>
    </xf>
    <xf numFmtId="3" fontId="57" fillId="7" borderId="23" xfId="0" applyNumberFormat="1" applyFont="1" applyFill="1" applyBorder="1" applyAlignment="1">
      <alignment horizontal="right" vertical="center"/>
    </xf>
    <xf numFmtId="0" fontId="49" fillId="4" borderId="21" xfId="0" applyFont="1" applyFill="1" applyBorder="1" applyAlignment="1">
      <alignment horizontal="left"/>
    </xf>
    <xf numFmtId="0" fontId="49" fillId="4" borderId="65" xfId="0"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12" xfId="0" applyFont="1" applyFill="1" applyBorder="1" applyAlignment="1">
      <alignment horizontal="left"/>
    </xf>
    <xf numFmtId="167" fontId="50" fillId="4" borderId="10" xfId="15" applyNumberFormat="1" applyFont="1" applyFill="1" applyBorder="1" applyAlignment="1">
      <alignment horizontal="center" vertical="center" wrapText="1"/>
    </xf>
    <xf numFmtId="167" fontId="50" fillId="4" borderId="11" xfId="15" applyNumberFormat="1" applyFont="1" applyFill="1" applyBorder="1" applyAlignment="1">
      <alignment horizontal="center" vertical="center" wrapText="1"/>
    </xf>
    <xf numFmtId="0" fontId="49" fillId="4" borderId="24" xfId="0" applyFont="1" applyFill="1" applyBorder="1" applyAlignment="1">
      <alignment horizontal="left"/>
    </xf>
    <xf numFmtId="167" fontId="49" fillId="4" borderId="25" xfId="15" applyNumberFormat="1" applyFont="1" applyFill="1" applyBorder="1" applyAlignment="1">
      <alignment horizontal="center" vertical="center"/>
    </xf>
    <xf numFmtId="167" fontId="49" fillId="4" borderId="23" xfId="15" applyNumberFormat="1" applyFont="1" applyFill="1" applyBorder="1" applyAlignment="1">
      <alignment horizontal="center" vertical="center"/>
    </xf>
    <xf numFmtId="0" fontId="57" fillId="0" borderId="0" xfId="0" applyFont="1" applyBorder="1" applyAlignment="1">
      <alignment/>
    </xf>
    <xf numFmtId="165" fontId="112" fillId="0" borderId="0" xfId="0" applyNumberFormat="1" applyFont="1" applyAlignment="1">
      <alignment horizontal="centerContinuous"/>
    </xf>
    <xf numFmtId="167" fontId="28" fillId="4" borderId="77" xfId="15" applyNumberFormat="1" applyFont="1" applyFill="1" applyBorder="1" applyAlignment="1">
      <alignment horizontal="center" vertical="center"/>
    </xf>
    <xf numFmtId="3" fontId="28" fillId="4" borderId="69" xfId="15" applyNumberFormat="1" applyFont="1" applyFill="1" applyBorder="1" applyAlignment="1">
      <alignment horizontal="right" vertical="center"/>
    </xf>
    <xf numFmtId="0" fontId="28" fillId="4" borderId="26" xfId="0" applyFont="1" applyFill="1" applyBorder="1" applyAlignment="1">
      <alignment horizontal="center" vertical="center"/>
    </xf>
    <xf numFmtId="165" fontId="30" fillId="4" borderId="69" xfId="19" applyNumberFormat="1" applyFont="1" applyFill="1" applyBorder="1" applyAlignment="1">
      <alignment/>
    </xf>
    <xf numFmtId="165" fontId="30" fillId="4" borderId="77" xfId="19" applyNumberFormat="1" applyFont="1" applyFill="1" applyBorder="1" applyAlignment="1">
      <alignment/>
    </xf>
    <xf numFmtId="3" fontId="28" fillId="4" borderId="11" xfId="15" applyNumberFormat="1" applyFont="1" applyFill="1" applyBorder="1" applyAlignment="1">
      <alignment horizontal="right" vertical="center"/>
    </xf>
    <xf numFmtId="167" fontId="28" fillId="4" borderId="23" xfId="15" applyNumberFormat="1" applyFont="1" applyFill="1" applyBorder="1" applyAlignment="1">
      <alignment horizontal="center" vertical="center"/>
    </xf>
    <xf numFmtId="165" fontId="112" fillId="0" borderId="0" xfId="0" applyNumberFormat="1" applyFont="1" applyAlignment="1">
      <alignment/>
    </xf>
    <xf numFmtId="0" fontId="40" fillId="7" borderId="22" xfId="15" applyNumberFormat="1" applyFont="1" applyFill="1" applyBorder="1" applyAlignment="1">
      <alignment horizontal="center" vertical="center" wrapText="1"/>
    </xf>
    <xf numFmtId="165" fontId="57" fillId="7" borderId="11" xfId="15" applyNumberFormat="1" applyFont="1" applyFill="1" applyBorder="1" applyAlignment="1">
      <alignment horizontal="right" vertical="center"/>
    </xf>
    <xf numFmtId="165" fontId="57" fillId="7" borderId="23" xfId="15" applyNumberFormat="1" applyFont="1" applyFill="1" applyBorder="1" applyAlignment="1">
      <alignment horizontal="right" vertical="center"/>
    </xf>
    <xf numFmtId="165" fontId="125" fillId="0" borderId="0" xfId="0" applyNumberFormat="1" applyFont="1" applyAlignment="1">
      <alignment horizontal="centerContinuous"/>
    </xf>
    <xf numFmtId="165" fontId="125" fillId="0" borderId="0" xfId="15" applyNumberFormat="1" applyFont="1" applyBorder="1" applyAlignment="1">
      <alignment/>
    </xf>
    <xf numFmtId="3" fontId="1" fillId="0" borderId="0" xfId="0" applyNumberFormat="1" applyFont="1" applyAlignment="1">
      <alignment/>
    </xf>
    <xf numFmtId="165" fontId="107" fillId="4" borderId="10" xfId="15" applyNumberFormat="1" applyFont="1" applyFill="1" applyBorder="1" applyAlignment="1">
      <alignment horizontal="right" wrapText="1"/>
    </xf>
    <xf numFmtId="165" fontId="30" fillId="4" borderId="25" xfId="15" applyNumberFormat="1" applyFont="1" applyFill="1" applyBorder="1" applyAlignment="1" quotePrefix="1">
      <alignment vertical="center"/>
    </xf>
    <xf numFmtId="165" fontId="107" fillId="4" borderId="10" xfId="15" applyNumberFormat="1" applyFont="1" applyFill="1" applyBorder="1" applyAlignment="1">
      <alignment horizontal="center" wrapText="1"/>
    </xf>
    <xf numFmtId="165" fontId="125" fillId="4" borderId="44" xfId="15" applyNumberFormat="1" applyFont="1" applyFill="1" applyBorder="1" applyAlignment="1">
      <alignment/>
    </xf>
    <xf numFmtId="165" fontId="125" fillId="4" borderId="38" xfId="15" applyNumberFormat="1" applyFont="1" applyFill="1" applyBorder="1" applyAlignment="1">
      <alignment/>
    </xf>
    <xf numFmtId="165" fontId="125" fillId="4" borderId="35" xfId="15" applyNumberFormat="1" applyFont="1" applyFill="1" applyBorder="1" applyAlignment="1">
      <alignment/>
    </xf>
    <xf numFmtId="165" fontId="125" fillId="4" borderId="46" xfId="15" applyNumberFormat="1" applyFont="1" applyFill="1" applyBorder="1" applyAlignment="1">
      <alignment/>
    </xf>
    <xf numFmtId="165" fontId="126" fillId="4" borderId="42" xfId="15" applyNumberFormat="1" applyFont="1" applyFill="1" applyBorder="1" applyAlignment="1">
      <alignment/>
    </xf>
    <xf numFmtId="217" fontId="112" fillId="4" borderId="78" xfId="0" applyNumberFormat="1" applyFont="1" applyFill="1" applyBorder="1" applyAlignment="1">
      <alignment horizontal="right"/>
    </xf>
    <xf numFmtId="0" fontId="29" fillId="0" borderId="0" xfId="0" applyFont="1" applyAlignment="1">
      <alignment horizontal="right"/>
    </xf>
    <xf numFmtId="0" fontId="114" fillId="4" borderId="79" xfId="0" applyFont="1" applyFill="1" applyBorder="1" applyAlignment="1">
      <alignment horizontal="right"/>
    </xf>
    <xf numFmtId="0" fontId="114" fillId="4" borderId="80" xfId="0" applyFont="1" applyFill="1" applyBorder="1" applyAlignment="1">
      <alignment horizontal="right"/>
    </xf>
    <xf numFmtId="0" fontId="116" fillId="4" borderId="81" xfId="0" applyFont="1" applyFill="1" applyBorder="1" applyAlignment="1">
      <alignment horizontal="right"/>
    </xf>
    <xf numFmtId="217" fontId="112" fillId="4" borderId="79" xfId="0" applyNumberFormat="1" applyFont="1" applyFill="1" applyBorder="1" applyAlignment="1">
      <alignment horizontal="right"/>
    </xf>
    <xf numFmtId="217" fontId="112" fillId="4" borderId="80" xfId="0" applyNumberFormat="1" applyFont="1" applyFill="1" applyBorder="1" applyAlignment="1">
      <alignment horizontal="right"/>
    </xf>
    <xf numFmtId="217" fontId="114" fillId="4" borderId="81" xfId="0" applyNumberFormat="1" applyFont="1" applyFill="1" applyBorder="1" applyAlignment="1">
      <alignment horizontal="right"/>
    </xf>
    <xf numFmtId="41" fontId="114" fillId="0" borderId="0" xfId="0" applyNumberFormat="1" applyFont="1" applyBorder="1" applyAlignment="1">
      <alignment horizontal="right"/>
    </xf>
    <xf numFmtId="0" fontId="112" fillId="4" borderId="81" xfId="0" applyFont="1" applyFill="1" applyBorder="1" applyAlignment="1">
      <alignment horizontal="right"/>
    </xf>
    <xf numFmtId="43" fontId="114" fillId="2" borderId="0" xfId="15" applyFont="1" applyFill="1" applyBorder="1" applyAlignment="1">
      <alignment horizontal="right"/>
    </xf>
    <xf numFmtId="2" fontId="0" fillId="0" borderId="0" xfId="0" applyNumberFormat="1" applyAlignment="1">
      <alignment horizontal="right"/>
    </xf>
    <xf numFmtId="165" fontId="112" fillId="0" borderId="0" xfId="0" applyNumberFormat="1" applyFont="1" applyAlignment="1">
      <alignment horizontal="right"/>
    </xf>
    <xf numFmtId="0" fontId="1" fillId="0" borderId="0" xfId="0" applyFont="1" applyAlignment="1">
      <alignment horizontal="right"/>
    </xf>
    <xf numFmtId="43" fontId="30" fillId="4" borderId="75" xfId="15" applyFont="1" applyFill="1" applyBorder="1" applyAlignment="1">
      <alignment horizontal="right" vertical="center"/>
    </xf>
    <xf numFmtId="43" fontId="30" fillId="4" borderId="52" xfId="15" applyFont="1" applyFill="1" applyBorder="1" applyAlignment="1">
      <alignment horizontal="right" vertical="center"/>
    </xf>
    <xf numFmtId="43" fontId="29" fillId="4" borderId="76" xfId="15" applyFont="1" applyFill="1" applyBorder="1" applyAlignment="1">
      <alignment horizontal="right" vertical="center"/>
    </xf>
    <xf numFmtId="43" fontId="106" fillId="4" borderId="11" xfId="15" applyFont="1" applyFill="1" applyBorder="1" applyAlignment="1">
      <alignment horizontal="right" wrapText="1"/>
    </xf>
    <xf numFmtId="43" fontId="29" fillId="4" borderId="11" xfId="15" applyFont="1" applyFill="1" applyBorder="1" applyAlignment="1">
      <alignment horizontal="right"/>
    </xf>
    <xf numFmtId="43" fontId="30" fillId="4" borderId="11" xfId="15" applyFont="1" applyFill="1" applyBorder="1" applyAlignment="1">
      <alignment horizontal="right"/>
    </xf>
    <xf numFmtId="43" fontId="2" fillId="0" borderId="0" xfId="15" applyFont="1" applyAlignment="1">
      <alignment horizontal="right" vertical="center"/>
    </xf>
    <xf numFmtId="43" fontId="30" fillId="4" borderId="23" xfId="15" applyFont="1" applyFill="1" applyBorder="1" applyAlignment="1">
      <alignment horizontal="right"/>
    </xf>
    <xf numFmtId="43" fontId="1" fillId="0" borderId="0" xfId="15" applyFont="1" applyAlignment="1">
      <alignment horizontal="right"/>
    </xf>
    <xf numFmtId="43" fontId="30" fillId="0" borderId="0" xfId="15" applyFont="1" applyBorder="1" applyAlignment="1">
      <alignment horizontal="right"/>
    </xf>
    <xf numFmtId="43" fontId="2" fillId="0" borderId="0" xfId="15" applyFont="1" applyBorder="1" applyAlignment="1">
      <alignment horizontal="right" vertical="center"/>
    </xf>
    <xf numFmtId="43" fontId="107" fillId="0" borderId="0" xfId="15" applyFont="1" applyBorder="1" applyAlignment="1">
      <alignment horizontal="right" wrapText="1"/>
    </xf>
    <xf numFmtId="43" fontId="30" fillId="4" borderId="11" xfId="15" applyFont="1" applyFill="1" applyBorder="1" applyAlignment="1">
      <alignment/>
    </xf>
    <xf numFmtId="184" fontId="57" fillId="6" borderId="10" xfId="0" applyNumberFormat="1" applyFont="1" applyFill="1" applyBorder="1" applyAlignment="1">
      <alignment horizontal="center" vertical="center"/>
    </xf>
    <xf numFmtId="0" fontId="127" fillId="0" borderId="0" xfId="0" applyFont="1" applyAlignment="1">
      <alignment/>
    </xf>
    <xf numFmtId="3" fontId="64" fillId="0" borderId="0" xfId="0" applyNumberFormat="1" applyFont="1" applyAlignment="1">
      <alignment/>
    </xf>
    <xf numFmtId="4" fontId="64" fillId="0" borderId="0" xfId="0" applyNumberFormat="1" applyFont="1" applyAlignment="1">
      <alignment/>
    </xf>
    <xf numFmtId="0" fontId="28" fillId="4" borderId="22" xfId="0" applyFont="1" applyFill="1" applyBorder="1" applyAlignment="1">
      <alignment horizontal="center" vertical="center" wrapText="1"/>
    </xf>
    <xf numFmtId="221" fontId="1" fillId="0" borderId="0" xfId="15" applyNumberFormat="1" applyFont="1" applyAlignment="1">
      <alignment/>
    </xf>
    <xf numFmtId="0" fontId="28" fillId="4" borderId="82" xfId="0" applyFont="1" applyFill="1" applyBorder="1" applyAlignment="1">
      <alignment horizontal="center" vertical="center"/>
    </xf>
    <xf numFmtId="3" fontId="28" fillId="4" borderId="28" xfId="15" applyNumberFormat="1" applyFont="1" applyFill="1" applyBorder="1" applyAlignment="1">
      <alignment horizontal="right" vertical="center"/>
    </xf>
    <xf numFmtId="0" fontId="28" fillId="4" borderId="65" xfId="0" applyFont="1" applyFill="1" applyBorder="1" applyAlignment="1">
      <alignment horizontal="center" vertical="center" wrapText="1"/>
    </xf>
    <xf numFmtId="165" fontId="106" fillId="4" borderId="10" xfId="15" applyNumberFormat="1" applyFont="1" applyFill="1" applyBorder="1" applyAlignment="1">
      <alignment wrapText="1"/>
    </xf>
    <xf numFmtId="165" fontId="106" fillId="4" borderId="10" xfId="19" applyNumberFormat="1" applyFont="1" applyFill="1" applyBorder="1" applyAlignment="1">
      <alignment wrapText="1"/>
    </xf>
    <xf numFmtId="43" fontId="106" fillId="4" borderId="11" xfId="15" applyFont="1" applyFill="1" applyBorder="1" applyAlignment="1">
      <alignment wrapText="1"/>
    </xf>
    <xf numFmtId="165" fontId="29" fillId="4" borderId="10" xfId="15" applyNumberFormat="1" applyFont="1" applyFill="1" applyBorder="1" applyAlignment="1">
      <alignment/>
    </xf>
    <xf numFmtId="43" fontId="29" fillId="4" borderId="11" xfId="15" applyFont="1" applyFill="1" applyBorder="1" applyAlignment="1">
      <alignment/>
    </xf>
    <xf numFmtId="165" fontId="107" fillId="4" borderId="10" xfId="15" applyNumberFormat="1" applyFont="1" applyFill="1" applyBorder="1" applyAlignment="1">
      <alignment wrapText="1"/>
    </xf>
    <xf numFmtId="0" fontId="30" fillId="4" borderId="26" xfId="23" applyFont="1" applyFill="1" applyBorder="1" applyAlignment="1">
      <alignment vertical="center"/>
      <protection/>
    </xf>
    <xf numFmtId="0" fontId="30" fillId="4" borderId="27" xfId="23" applyFont="1" applyFill="1" applyBorder="1" applyAlignment="1">
      <alignment vertical="center"/>
      <protection/>
    </xf>
    <xf numFmtId="165" fontId="30" fillId="0" borderId="0" xfId="15" applyNumberFormat="1" applyFont="1" applyBorder="1" applyAlignment="1">
      <alignment/>
    </xf>
    <xf numFmtId="165" fontId="30" fillId="4" borderId="26" xfId="15" applyNumberFormat="1" applyFont="1" applyFill="1" applyBorder="1" applyAlignment="1">
      <alignment vertical="center"/>
    </xf>
    <xf numFmtId="165" fontId="30" fillId="4" borderId="27" xfId="15" applyNumberFormat="1" applyFont="1" applyFill="1" applyBorder="1" applyAlignment="1">
      <alignment vertical="center"/>
    </xf>
    <xf numFmtId="165" fontId="29" fillId="4" borderId="27" xfId="15" applyNumberFormat="1" applyFont="1" applyFill="1" applyBorder="1" applyAlignment="1">
      <alignment vertical="center"/>
    </xf>
    <xf numFmtId="165" fontId="1" fillId="0" borderId="0" xfId="15" applyNumberFormat="1" applyFont="1" applyAlignment="1">
      <alignment/>
    </xf>
    <xf numFmtId="165" fontId="106" fillId="0" borderId="0" xfId="15" applyNumberFormat="1" applyFont="1" applyBorder="1" applyAlignment="1">
      <alignment wrapText="1"/>
    </xf>
    <xf numFmtId="165" fontId="29" fillId="0" borderId="0" xfId="15" applyNumberFormat="1" applyFont="1" applyBorder="1" applyAlignment="1">
      <alignment/>
    </xf>
    <xf numFmtId="165" fontId="29" fillId="4" borderId="28" xfId="15" applyNumberFormat="1" applyFont="1" applyFill="1" applyBorder="1" applyAlignment="1">
      <alignment vertical="center"/>
    </xf>
    <xf numFmtId="165" fontId="30" fillId="4" borderId="69" xfId="19" applyNumberFormat="1" applyFont="1" applyFill="1" applyBorder="1" applyAlignment="1">
      <alignment/>
    </xf>
    <xf numFmtId="165" fontId="59" fillId="4" borderId="69" xfId="19" applyNumberFormat="1" applyFont="1" applyFill="1" applyBorder="1" applyAlignment="1">
      <alignment/>
    </xf>
    <xf numFmtId="165" fontId="30" fillId="4" borderId="25" xfId="19" applyNumberFormat="1" applyFont="1" applyFill="1" applyBorder="1" applyAlignment="1">
      <alignment/>
    </xf>
    <xf numFmtId="220" fontId="30" fillId="2" borderId="5" xfId="15" applyNumberFormat="1" applyFont="1" applyFill="1" applyBorder="1" applyAlignment="1">
      <alignment horizontal="right" vertical="center"/>
    </xf>
    <xf numFmtId="0" fontId="29" fillId="0" borderId="0" xfId="0" applyNumberFormat="1" applyFont="1" applyAlignment="1">
      <alignment/>
    </xf>
    <xf numFmtId="165" fontId="4" fillId="4" borderId="72" xfId="15" applyNumberFormat="1" applyFont="1" applyFill="1" applyBorder="1" applyAlignment="1">
      <alignment vertical="center" wrapText="1"/>
    </xf>
    <xf numFmtId="165" fontId="6" fillId="4" borderId="70" xfId="15" applyNumberFormat="1" applyFont="1" applyFill="1" applyBorder="1" applyAlignment="1">
      <alignment vertical="center" wrapText="1"/>
    </xf>
    <xf numFmtId="165" fontId="4" fillId="4" borderId="69" xfId="15" applyNumberFormat="1" applyFont="1" applyFill="1" applyBorder="1" applyAlignment="1">
      <alignment vertical="center" wrapText="1"/>
    </xf>
    <xf numFmtId="165" fontId="4" fillId="4" borderId="83" xfId="15" applyNumberFormat="1" applyFont="1" applyFill="1" applyBorder="1" applyAlignment="1">
      <alignment vertical="center" wrapText="1"/>
    </xf>
    <xf numFmtId="0" fontId="5" fillId="0" borderId="0" xfId="0" applyFont="1" applyAlignment="1">
      <alignment wrapText="1"/>
    </xf>
    <xf numFmtId="0" fontId="76" fillId="0" borderId="0" xfId="0" applyFont="1" applyAlignment="1">
      <alignment horizontal="center" vertical="center" wrapText="1"/>
    </xf>
    <xf numFmtId="0" fontId="84" fillId="0" borderId="0" xfId="0" applyFont="1" applyAlignment="1">
      <alignment horizontal="center" vertical="center" wrapText="1"/>
    </xf>
    <xf numFmtId="0" fontId="67" fillId="4" borderId="74" xfId="0" applyFont="1" applyFill="1" applyBorder="1" applyAlignment="1">
      <alignment vertical="center" wrapText="1"/>
    </xf>
    <xf numFmtId="0" fontId="0" fillId="4" borderId="1" xfId="0" applyFill="1" applyBorder="1" applyAlignment="1">
      <alignment vertical="center" wrapText="1"/>
    </xf>
    <xf numFmtId="0" fontId="0" fillId="4" borderId="51" xfId="0" applyFill="1" applyBorder="1" applyAlignment="1">
      <alignment vertical="center" wrapText="1"/>
    </xf>
    <xf numFmtId="0" fontId="67" fillId="4" borderId="6" xfId="0" applyFont="1" applyFill="1" applyBorder="1" applyAlignment="1">
      <alignment vertical="center" wrapText="1"/>
    </xf>
    <xf numFmtId="0" fontId="0" fillId="4" borderId="0" xfId="0" applyFill="1" applyBorder="1" applyAlignment="1">
      <alignment vertical="center" wrapText="1"/>
    </xf>
    <xf numFmtId="0" fontId="0" fillId="4" borderId="5" xfId="0" applyFill="1" applyBorder="1" applyAlignment="1">
      <alignment vertical="center" wrapText="1"/>
    </xf>
    <xf numFmtId="0" fontId="72" fillId="5" borderId="64" xfId="0" applyFont="1" applyFill="1" applyBorder="1" applyAlignment="1">
      <alignment horizontal="center" wrapText="1"/>
    </xf>
    <xf numFmtId="0" fontId="1" fillId="5" borderId="62" xfId="0" applyFont="1" applyFill="1" applyBorder="1" applyAlignment="1">
      <alignment horizontal="center" wrapText="1"/>
    </xf>
    <xf numFmtId="0" fontId="2" fillId="5" borderId="0" xfId="0" applyFont="1" applyFill="1" applyAlignment="1">
      <alignment horizontal="left" wrapText="1"/>
    </xf>
    <xf numFmtId="0" fontId="1" fillId="5" borderId="0" xfId="0" applyFont="1" applyFill="1" applyAlignment="1">
      <alignment horizontal="left" wrapText="1"/>
    </xf>
    <xf numFmtId="0" fontId="76" fillId="5" borderId="0" xfId="0" applyFont="1" applyFill="1" applyAlignment="1">
      <alignment horizontal="center"/>
    </xf>
    <xf numFmtId="0" fontId="96" fillId="0" borderId="6"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5" xfId="0" applyFont="1" applyBorder="1" applyAlignment="1">
      <alignment horizontal="center" vertical="center" wrapText="1"/>
    </xf>
    <xf numFmtId="0" fontId="99" fillId="0" borderId="6"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5" xfId="0" applyFont="1" applyBorder="1" applyAlignment="1">
      <alignment horizontal="center" vertical="center" wrapText="1"/>
    </xf>
    <xf numFmtId="0" fontId="100" fillId="0" borderId="74" xfId="0" applyFont="1" applyBorder="1" applyAlignment="1">
      <alignment horizontal="center" vertical="center" wrapText="1"/>
    </xf>
    <xf numFmtId="0" fontId="100" fillId="0" borderId="1" xfId="0" applyFont="1" applyBorder="1" applyAlignment="1">
      <alignment horizontal="center" vertical="center" wrapText="1"/>
    </xf>
    <xf numFmtId="0" fontId="100" fillId="0" borderId="51" xfId="0" applyFont="1" applyBorder="1" applyAlignment="1">
      <alignment horizontal="center" vertical="center" wrapText="1"/>
    </xf>
    <xf numFmtId="0" fontId="94" fillId="0" borderId="2"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5" xfId="0" applyFont="1" applyBorder="1" applyAlignment="1">
      <alignment horizontal="center" vertical="center" wrapText="1"/>
    </xf>
    <xf numFmtId="0" fontId="95" fillId="0" borderId="6"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5" xfId="0" applyFont="1" applyBorder="1" applyAlignment="1">
      <alignment horizontal="center" vertical="center" wrapText="1"/>
    </xf>
    <xf numFmtId="0" fontId="108" fillId="4" borderId="0" xfId="0" applyFont="1" applyFill="1" applyAlignment="1">
      <alignment horizontal="center" vertical="center" wrapText="1"/>
    </xf>
    <xf numFmtId="0" fontId="109" fillId="4" borderId="0" xfId="0" applyFont="1" applyFill="1" applyAlignment="1">
      <alignment horizontal="center" vertical="center" wrapText="1"/>
    </xf>
    <xf numFmtId="165" fontId="6" fillId="4" borderId="84" xfId="15" applyNumberFormat="1" applyFont="1" applyFill="1" applyBorder="1" applyAlignment="1">
      <alignment vertical="center" wrapText="1"/>
    </xf>
    <xf numFmtId="165" fontId="6" fillId="4" borderId="73" xfId="15" applyNumberFormat="1" applyFont="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2" fillId="4" borderId="65"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76"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65" fontId="4" fillId="4" borderId="69" xfId="15" applyNumberFormat="1" applyFont="1" applyFill="1" applyBorder="1" applyAlignment="1">
      <alignment horizontal="left" vertical="center" wrapText="1"/>
    </xf>
    <xf numFmtId="165" fontId="4" fillId="4" borderId="72" xfId="15" applyNumberFormat="1" applyFont="1" applyFill="1" applyBorder="1" applyAlignment="1">
      <alignment horizontal="left" vertical="center" wrapText="1"/>
    </xf>
    <xf numFmtId="165" fontId="6" fillId="4" borderId="70" xfId="15" applyNumberFormat="1" applyFont="1" applyFill="1" applyBorder="1" applyAlignment="1">
      <alignment horizontal="left" vertical="center" wrapText="1"/>
    </xf>
    <xf numFmtId="165" fontId="6" fillId="4" borderId="73" xfId="15" applyNumberFormat="1" applyFont="1" applyFill="1" applyBorder="1" applyAlignment="1">
      <alignment horizontal="left" vertical="center" wrapText="1"/>
    </xf>
    <xf numFmtId="0" fontId="1" fillId="0" borderId="3" xfId="0" applyFont="1" applyBorder="1" applyAlignment="1">
      <alignment wrapText="1"/>
    </xf>
    <xf numFmtId="0" fontId="5" fillId="4" borderId="6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75" fillId="0" borderId="0" xfId="0" applyFont="1" applyAlignment="1">
      <alignment horizontal="center" vertical="center" wrapText="1"/>
    </xf>
    <xf numFmtId="0" fontId="7" fillId="4" borderId="2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82"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Border="1" applyAlignment="1">
      <alignment vertical="center" wrapText="1"/>
    </xf>
    <xf numFmtId="0" fontId="7" fillId="4" borderId="65"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9" fillId="0" borderId="0" xfId="0" applyNumberFormat="1" applyFont="1" applyFill="1" applyBorder="1" applyAlignment="1">
      <alignment horizontal="justify" wrapText="1"/>
    </xf>
    <xf numFmtId="0" fontId="50" fillId="0" borderId="0" xfId="0" applyFont="1" applyAlignment="1">
      <alignment horizontal="justify" wrapText="1"/>
    </xf>
    <xf numFmtId="0" fontId="9" fillId="0" borderId="0" xfId="0" applyNumberFormat="1" applyFont="1" applyFill="1" applyBorder="1" applyAlignment="1">
      <alignment horizontal="justify" wrapText="1"/>
    </xf>
    <xf numFmtId="0" fontId="48" fillId="0" borderId="0" xfId="0" applyFont="1" applyAlignment="1">
      <alignment horizontal="justify" wrapText="1"/>
    </xf>
    <xf numFmtId="0" fontId="30" fillId="6" borderId="82" xfId="0" applyFont="1" applyFill="1" applyBorder="1" applyAlignment="1">
      <alignment horizontal="center" vertical="center" wrapText="1"/>
    </xf>
    <xf numFmtId="0" fontId="30" fillId="6" borderId="85" xfId="0" applyFont="1" applyFill="1" applyBorder="1" applyAlignment="1">
      <alignment horizontal="center" vertical="center" wrapText="1"/>
    </xf>
    <xf numFmtId="0" fontId="30" fillId="6" borderId="86" xfId="0" applyFont="1" applyFill="1" applyBorder="1" applyAlignment="1">
      <alignment horizontal="center" vertical="center" wrapText="1"/>
    </xf>
    <xf numFmtId="0" fontId="30" fillId="6" borderId="87" xfId="0" applyFont="1" applyFill="1" applyBorder="1" applyAlignment="1">
      <alignment horizontal="center" vertical="center" wrapText="1"/>
    </xf>
    <xf numFmtId="0" fontId="48" fillId="0" borderId="0" xfId="0" applyNumberFormat="1" applyFont="1" applyBorder="1" applyAlignment="1">
      <alignment horizontal="justify" wrapText="1"/>
    </xf>
    <xf numFmtId="0" fontId="2" fillId="0" borderId="0" xfId="0" applyNumberFormat="1" applyFont="1" applyFill="1" applyBorder="1" applyAlignment="1">
      <alignment horizontal="justify" wrapText="1"/>
    </xf>
    <xf numFmtId="0" fontId="1" fillId="0" borderId="0" xfId="0" applyNumberFormat="1" applyFont="1" applyBorder="1" applyAlignment="1">
      <alignment horizontal="justify" wrapText="1"/>
    </xf>
    <xf numFmtId="0" fontId="9" fillId="0" borderId="3" xfId="0" applyNumberFormat="1" applyFont="1" applyFill="1" applyBorder="1" applyAlignment="1">
      <alignment horizontal="justify" wrapText="1"/>
    </xf>
    <xf numFmtId="0" fontId="48" fillId="0" borderId="3" xfId="0" applyNumberFormat="1" applyFont="1" applyBorder="1" applyAlignment="1">
      <alignment horizontal="justify" wrapText="1"/>
    </xf>
    <xf numFmtId="0" fontId="79" fillId="0" borderId="0" xfId="0" applyFont="1" applyAlignment="1">
      <alignment horizontal="center" vertical="center" wrapText="1"/>
    </xf>
    <xf numFmtId="0" fontId="81" fillId="0" borderId="0" xfId="0" applyFont="1" applyAlignment="1">
      <alignment horizontal="center" vertical="center" wrapText="1"/>
    </xf>
    <xf numFmtId="0" fontId="87" fillId="0" borderId="0" xfId="0" applyFont="1" applyAlignment="1">
      <alignment horizontal="center" wrapText="1"/>
    </xf>
    <xf numFmtId="0" fontId="81" fillId="0" borderId="0" xfId="0" applyFont="1" applyAlignment="1">
      <alignment horizontal="center" wrapText="1"/>
    </xf>
    <xf numFmtId="0" fontId="30" fillId="6" borderId="65"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66" fillId="6" borderId="4" xfId="0" applyFont="1" applyFill="1" applyBorder="1" applyAlignment="1">
      <alignment/>
    </xf>
    <xf numFmtId="0" fontId="66" fillId="6" borderId="86" xfId="0" applyFont="1" applyFill="1" applyBorder="1" applyAlignment="1">
      <alignment/>
    </xf>
    <xf numFmtId="0" fontId="66" fillId="6" borderId="88" xfId="0" applyFont="1" applyFill="1" applyBorder="1" applyAlignment="1">
      <alignment/>
    </xf>
    <xf numFmtId="0" fontId="30" fillId="6" borderId="21" xfId="0" applyFont="1" applyFill="1" applyBorder="1" applyAlignment="1">
      <alignment horizontal="center" vertical="center" wrapText="1" shrinkToFit="1"/>
    </xf>
    <xf numFmtId="0" fontId="29" fillId="6" borderId="12" xfId="0" applyFont="1" applyFill="1" applyBorder="1" applyAlignment="1">
      <alignment/>
    </xf>
    <xf numFmtId="0" fontId="30" fillId="6" borderId="65" xfId="0" applyFont="1" applyFill="1" applyBorder="1" applyAlignment="1">
      <alignment horizontal="center" vertical="center" wrapText="1" shrinkToFit="1"/>
    </xf>
    <xf numFmtId="0" fontId="29" fillId="6" borderId="10" xfId="0" applyFont="1" applyFill="1" applyBorder="1" applyAlignment="1">
      <alignment horizontal="center" vertical="center" wrapText="1" shrinkToFit="1"/>
    </xf>
    <xf numFmtId="0" fontId="2" fillId="0" borderId="0" xfId="0" applyFont="1" applyBorder="1" applyAlignment="1">
      <alignment horizontal="justify" wrapText="1"/>
    </xf>
    <xf numFmtId="0" fontId="33" fillId="0" borderId="0" xfId="0" applyFont="1" applyAlignment="1">
      <alignment horizontal="center" vertical="center" wrapText="1"/>
    </xf>
    <xf numFmtId="0" fontId="88" fillId="0" borderId="0" xfId="0" applyFont="1" applyAlignment="1">
      <alignment horizontal="center" vertical="center" wrapText="1"/>
    </xf>
    <xf numFmtId="0" fontId="86" fillId="0" borderId="0" xfId="0" applyFont="1" applyAlignment="1">
      <alignment horizontal="center" vertical="center" wrapText="1"/>
    </xf>
    <xf numFmtId="0" fontId="33" fillId="0" borderId="0" xfId="0" applyFont="1" applyAlignment="1">
      <alignment horizontal="center" wrapText="1"/>
    </xf>
    <xf numFmtId="0" fontId="87" fillId="0" borderId="0" xfId="0" applyFont="1" applyAlignment="1">
      <alignment horizontal="center" wrapText="1"/>
    </xf>
    <xf numFmtId="0" fontId="85" fillId="0" borderId="0" xfId="0" applyFont="1" applyAlignment="1">
      <alignment horizontal="center" wrapText="1"/>
    </xf>
    <xf numFmtId="0" fontId="88" fillId="0" borderId="0" xfId="0" applyFont="1" applyAlignment="1">
      <alignment horizontal="center" wrapText="1"/>
    </xf>
    <xf numFmtId="0" fontId="9" fillId="0" borderId="3"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30" fillId="7" borderId="65" xfId="0" applyFont="1" applyFill="1" applyBorder="1" applyAlignment="1">
      <alignment horizontal="center" vertical="center" wrapText="1"/>
    </xf>
    <xf numFmtId="0" fontId="0" fillId="7" borderId="10" xfId="0" applyFill="1" applyBorder="1" applyAlignment="1">
      <alignment horizontal="center" vertical="center" wrapText="1"/>
    </xf>
    <xf numFmtId="0" fontId="2" fillId="7" borderId="65" xfId="0" applyFont="1" applyFill="1" applyBorder="1" applyAlignment="1">
      <alignment horizontal="center" wrapText="1"/>
    </xf>
    <xf numFmtId="0" fontId="1" fillId="7" borderId="65" xfId="0" applyFont="1" applyFill="1" applyBorder="1" applyAlignment="1">
      <alignment horizontal="center" wrapText="1"/>
    </xf>
    <xf numFmtId="0" fontId="30" fillId="7" borderId="65" xfId="0" applyFont="1" applyFill="1" applyBorder="1" applyAlignment="1">
      <alignment horizontal="center" wrapText="1"/>
    </xf>
    <xf numFmtId="0" fontId="30" fillId="7" borderId="22" xfId="0" applyFont="1" applyFill="1" applyBorder="1" applyAlignment="1">
      <alignment horizontal="center" wrapText="1"/>
    </xf>
    <xf numFmtId="0" fontId="5" fillId="0" borderId="1" xfId="0" applyFont="1" applyBorder="1" applyAlignment="1">
      <alignment horizontal="left" wrapText="1"/>
    </xf>
    <xf numFmtId="0" fontId="87" fillId="0" borderId="0" xfId="0" applyFont="1" applyAlignment="1">
      <alignment horizontal="center" vertical="center" wrapText="1"/>
    </xf>
    <xf numFmtId="0" fontId="0" fillId="0" borderId="0" xfId="0" applyAlignment="1">
      <alignment horizontal="center" vertical="center" wrapText="1"/>
    </xf>
    <xf numFmtId="0" fontId="30" fillId="0" borderId="0" xfId="0" applyFont="1" applyBorder="1" applyAlignment="1">
      <alignment horizontal="left" wrapText="1"/>
    </xf>
    <xf numFmtId="0" fontId="29" fillId="0" borderId="0" xfId="0" applyFont="1" applyAlignment="1">
      <alignment wrapText="1"/>
    </xf>
    <xf numFmtId="0" fontId="45" fillId="7" borderId="65" xfId="0" applyFont="1" applyFill="1" applyBorder="1" applyAlignment="1">
      <alignment horizontal="center" vertical="center" wrapText="1"/>
    </xf>
    <xf numFmtId="0" fontId="0" fillId="7" borderId="65" xfId="0" applyFill="1" applyBorder="1" applyAlignment="1">
      <alignment horizontal="center" vertical="center" wrapText="1"/>
    </xf>
    <xf numFmtId="0" fontId="45" fillId="7" borderId="21" xfId="0" applyFont="1" applyFill="1" applyBorder="1" applyAlignment="1">
      <alignment horizontal="center" vertical="center"/>
    </xf>
    <xf numFmtId="0" fontId="45" fillId="7" borderId="12" xfId="0" applyFont="1" applyFill="1" applyBorder="1" applyAlignment="1">
      <alignment horizontal="center" vertical="center"/>
    </xf>
    <xf numFmtId="0" fontId="0" fillId="7" borderId="68" xfId="0" applyFill="1" applyBorder="1" applyAlignment="1">
      <alignment horizontal="center" vertical="center" wrapText="1"/>
    </xf>
    <xf numFmtId="0" fontId="35" fillId="0" borderId="3" xfId="15" applyNumberFormat="1" applyFont="1" applyBorder="1" applyAlignment="1">
      <alignment horizontal="left" vertical="center" wrapText="1"/>
    </xf>
    <xf numFmtId="0" fontId="27"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0" fillId="0" borderId="3" xfId="0" applyBorder="1" applyAlignment="1">
      <alignment horizontal="left" vertical="center" wrapText="1"/>
    </xf>
    <xf numFmtId="0" fontId="0" fillId="7" borderId="22" xfId="0" applyFill="1" applyBorder="1" applyAlignment="1">
      <alignment horizontal="center" vertical="center" wrapText="1"/>
    </xf>
    <xf numFmtId="0" fontId="75" fillId="0" borderId="0" xfId="0" applyFont="1" applyAlignment="1">
      <alignment horizontal="center" vertical="center" wrapText="1"/>
    </xf>
    <xf numFmtId="0" fontId="5" fillId="0" borderId="0" xfId="0" applyFont="1" applyBorder="1" applyAlignment="1">
      <alignment horizontal="left" wrapText="1"/>
    </xf>
    <xf numFmtId="0" fontId="0" fillId="0" borderId="0" xfId="0" applyBorder="1" applyAlignment="1">
      <alignment horizontal="left" wrapText="1"/>
    </xf>
    <xf numFmtId="0" fontId="9" fillId="2" borderId="3" xfId="0" applyFont="1" applyFill="1" applyBorder="1" applyAlignment="1">
      <alignment horizontal="left" wrapText="1"/>
    </xf>
    <xf numFmtId="0" fontId="0" fillId="0" borderId="3" xfId="0" applyBorder="1" applyAlignment="1">
      <alignment wrapText="1"/>
    </xf>
    <xf numFmtId="0" fontId="5"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30" fillId="0" borderId="0" xfId="23" applyFont="1" applyBorder="1" applyAlignment="1">
      <alignment wrapText="1"/>
      <protection/>
    </xf>
    <xf numFmtId="0" fontId="0" fillId="0" borderId="0" xfId="0" applyBorder="1" applyAlignment="1">
      <alignment wrapText="1"/>
    </xf>
    <xf numFmtId="0" fontId="0" fillId="0" borderId="0" xfId="0" applyAlignment="1">
      <alignment wrapText="1"/>
    </xf>
    <xf numFmtId="0" fontId="28" fillId="7" borderId="24" xfId="0" applyFont="1" applyFill="1" applyBorder="1" applyAlignment="1">
      <alignment horizontal="center" vertical="center" wrapText="1"/>
    </xf>
    <xf numFmtId="0" fontId="0" fillId="7" borderId="25" xfId="0" applyFill="1" applyBorder="1" applyAlignment="1">
      <alignment horizontal="center" vertical="center" wrapText="1"/>
    </xf>
    <xf numFmtId="42" fontId="28" fillId="7" borderId="70" xfId="15" applyNumberFormat="1" applyFont="1" applyFill="1" applyBorder="1" applyAlignment="1">
      <alignment horizontal="right" vertical="center" wrapText="1"/>
    </xf>
    <xf numFmtId="42" fontId="28" fillId="7" borderId="73" xfId="15" applyNumberFormat="1" applyFont="1" applyFill="1" applyBorder="1" applyAlignment="1">
      <alignment horizontal="right" vertical="center" wrapText="1"/>
    </xf>
    <xf numFmtId="42" fontId="28" fillId="7" borderId="69" xfId="15" applyNumberFormat="1" applyFont="1" applyFill="1" applyBorder="1" applyAlignment="1">
      <alignment horizontal="right" vertical="center" wrapText="1"/>
    </xf>
    <xf numFmtId="42" fontId="28" fillId="7" borderId="72" xfId="15" applyNumberFormat="1" applyFont="1" applyFill="1" applyBorder="1" applyAlignment="1">
      <alignment horizontal="right" vertical="center" wrapText="1"/>
    </xf>
    <xf numFmtId="0" fontId="28" fillId="7" borderId="89" xfId="0" applyFont="1" applyFill="1" applyBorder="1" applyAlignment="1">
      <alignment horizontal="center" vertical="center" wrapText="1"/>
    </xf>
    <xf numFmtId="0" fontId="28" fillId="7" borderId="90" xfId="0" applyFont="1" applyFill="1" applyBorder="1" applyAlignment="1">
      <alignment horizontal="center" vertical="center" wrapText="1"/>
    </xf>
    <xf numFmtId="0" fontId="28" fillId="7" borderId="83" xfId="0" applyFont="1" applyFill="1" applyBorder="1" applyAlignment="1">
      <alignment horizontal="center" vertical="center" wrapText="1"/>
    </xf>
    <xf numFmtId="42" fontId="28" fillId="7" borderId="10" xfId="15" applyNumberFormat="1" applyFont="1" applyFill="1" applyBorder="1" applyAlignment="1">
      <alignment horizontal="center" vertical="center" wrapText="1"/>
    </xf>
    <xf numFmtId="42" fontId="28" fillId="7" borderId="11" xfId="15" applyNumberFormat="1"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8" fillId="7" borderId="21" xfId="0" applyFont="1" applyFill="1" applyBorder="1" applyAlignment="1">
      <alignment horizontal="center" vertical="center" wrapText="1"/>
    </xf>
    <xf numFmtId="0" fontId="28" fillId="7" borderId="65" xfId="0" applyFont="1" applyFill="1" applyBorder="1" applyAlignment="1">
      <alignment horizontal="center" vertical="center" wrapText="1"/>
    </xf>
    <xf numFmtId="0" fontId="28" fillId="7" borderId="22" xfId="0" applyFont="1" applyFill="1" applyBorder="1" applyAlignment="1">
      <alignment horizontal="center" vertical="center" wrapText="1"/>
    </xf>
    <xf numFmtId="0" fontId="54" fillId="7" borderId="69" xfId="0" applyFont="1" applyFill="1" applyBorder="1" applyAlignment="1">
      <alignment horizontal="left" wrapText="1"/>
    </xf>
    <xf numFmtId="0" fontId="0" fillId="7" borderId="90" xfId="0" applyFill="1" applyBorder="1" applyAlignment="1">
      <alignment horizontal="left" wrapText="1"/>
    </xf>
    <xf numFmtId="0" fontId="0" fillId="7" borderId="72" xfId="0" applyFill="1" applyBorder="1" applyAlignment="1">
      <alignment horizontal="left" wrapText="1"/>
    </xf>
    <xf numFmtId="0" fontId="40" fillId="7" borderId="24" xfId="0" applyFont="1" applyFill="1" applyBorder="1" applyAlignment="1">
      <alignment vertical="center" wrapText="1"/>
    </xf>
    <xf numFmtId="0" fontId="0" fillId="7" borderId="25" xfId="0" applyFill="1" applyBorder="1" applyAlignment="1">
      <alignment vertical="center" wrapText="1"/>
    </xf>
    <xf numFmtId="0" fontId="0" fillId="7" borderId="23" xfId="0" applyFill="1" applyBorder="1" applyAlignment="1">
      <alignment vertical="center" wrapText="1"/>
    </xf>
    <xf numFmtId="0" fontId="31" fillId="7" borderId="12" xfId="0" applyFont="1" applyFill="1" applyBorder="1" applyAlignment="1">
      <alignment vertical="center"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35" fillId="7" borderId="21" xfId="0" applyFont="1" applyFill="1" applyBorder="1" applyAlignment="1">
      <alignment vertical="center" wrapText="1"/>
    </xf>
    <xf numFmtId="0" fontId="0" fillId="7" borderId="65" xfId="0" applyFill="1" applyBorder="1" applyAlignment="1">
      <alignment vertical="center" wrapText="1"/>
    </xf>
    <xf numFmtId="0" fontId="0" fillId="7" borderId="22" xfId="0" applyFill="1" applyBorder="1" applyAlignment="1">
      <alignment vertical="center" wrapText="1"/>
    </xf>
    <xf numFmtId="0" fontId="2" fillId="7" borderId="0" xfId="0" applyFont="1" applyFill="1" applyBorder="1" applyAlignment="1">
      <alignment/>
    </xf>
    <xf numFmtId="0" fontId="1" fillId="7" borderId="0" xfId="0" applyFont="1" applyFill="1" applyBorder="1" applyAlignment="1">
      <alignment/>
    </xf>
    <xf numFmtId="0" fontId="2" fillId="7" borderId="0" xfId="0" applyFont="1" applyFill="1" applyBorder="1" applyAlignment="1">
      <alignment wrapText="1"/>
    </xf>
    <xf numFmtId="0" fontId="1" fillId="7" borderId="0" xfId="0" applyFont="1" applyFill="1" applyBorder="1" applyAlignment="1">
      <alignment wrapText="1"/>
    </xf>
    <xf numFmtId="0" fontId="4" fillId="0" borderId="0" xfId="0" applyFont="1" applyBorder="1" applyAlignment="1">
      <alignment vertical="center" wrapText="1"/>
    </xf>
    <xf numFmtId="0" fontId="2" fillId="7" borderId="2" xfId="0" applyFont="1" applyFill="1" applyBorder="1" applyAlignment="1">
      <alignment horizontal="center" wrapText="1"/>
    </xf>
    <xf numFmtId="0" fontId="1" fillId="7" borderId="3" xfId="0" applyFont="1" applyFill="1" applyBorder="1" applyAlignment="1">
      <alignment wrapText="1"/>
    </xf>
    <xf numFmtId="0" fontId="1" fillId="7" borderId="4" xfId="0" applyFont="1" applyFill="1" applyBorder="1" applyAlignment="1">
      <alignment wrapText="1"/>
    </xf>
    <xf numFmtId="0" fontId="1" fillId="7" borderId="5" xfId="0" applyFont="1" applyFill="1" applyBorder="1" applyAlignment="1">
      <alignment wrapText="1"/>
    </xf>
    <xf numFmtId="0" fontId="75" fillId="0" borderId="0" xfId="0" applyFont="1" applyAlignment="1">
      <alignment vertical="top" wrapText="1"/>
    </xf>
    <xf numFmtId="0" fontId="82" fillId="0" borderId="0" xfId="0" applyFont="1" applyAlignment="1">
      <alignment vertical="top"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30"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89" fillId="0" borderId="0" xfId="0" applyFont="1" applyAlignment="1">
      <alignment horizontal="center" vertical="center" wrapText="1"/>
    </xf>
    <xf numFmtId="0" fontId="75" fillId="2" borderId="0" xfId="0" applyFont="1" applyFill="1" applyAlignment="1">
      <alignment horizontal="center" vertical="center" wrapText="1"/>
    </xf>
    <xf numFmtId="0" fontId="28" fillId="4" borderId="89" xfId="0" applyFont="1" applyFill="1" applyBorder="1" applyAlignment="1">
      <alignment horizontal="left" vertical="center" wrapText="1"/>
    </xf>
    <xf numFmtId="0" fontId="0" fillId="0" borderId="90" xfId="0" applyBorder="1" applyAlignment="1">
      <alignment horizontal="left" vertical="center" wrapText="1"/>
    </xf>
    <xf numFmtId="0" fontId="28" fillId="4" borderId="91" xfId="0" applyFont="1" applyFill="1" applyBorder="1" applyAlignment="1">
      <alignment horizontal="left" vertical="center" wrapText="1"/>
    </xf>
    <xf numFmtId="0" fontId="0" fillId="0" borderId="92" xfId="0" applyBorder="1" applyAlignment="1">
      <alignment horizontal="left" vertical="center" wrapText="1"/>
    </xf>
    <xf numFmtId="0" fontId="28" fillId="4" borderId="93" xfId="0" applyFont="1" applyFill="1" applyBorder="1" applyAlignment="1">
      <alignment horizontal="left" vertical="center" wrapText="1"/>
    </xf>
    <xf numFmtId="0" fontId="0" fillId="0" borderId="94" xfId="0" applyBorder="1" applyAlignment="1">
      <alignment horizontal="left" vertical="center" wrapText="1"/>
    </xf>
    <xf numFmtId="0" fontId="1" fillId="0" borderId="0" xfId="0" applyFont="1" applyBorder="1" applyAlignment="1">
      <alignment horizontal="justify" wrapText="1"/>
    </xf>
    <xf numFmtId="0" fontId="75" fillId="0" borderId="0" xfId="0" applyFont="1" applyAlignment="1">
      <alignment horizontal="center" wrapText="1"/>
    </xf>
    <xf numFmtId="0" fontId="82" fillId="0" borderId="0" xfId="0" applyFont="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1" fillId="0" borderId="0" xfId="0" applyFont="1" applyBorder="1" applyAlignment="1">
      <alignment wrapText="1"/>
    </xf>
    <xf numFmtId="169" fontId="9" fillId="4" borderId="65" xfId="15" applyNumberFormat="1" applyFont="1" applyFill="1" applyBorder="1" applyAlignment="1">
      <alignment horizontal="center" vertical="center" wrapText="1"/>
    </xf>
    <xf numFmtId="169" fontId="9" fillId="4" borderId="10" xfId="15" applyNumberFormat="1" applyFont="1" applyFill="1" applyBorder="1" applyAlignment="1">
      <alignment horizontal="center" vertical="center" wrapText="1"/>
    </xf>
    <xf numFmtId="0" fontId="47" fillId="4" borderId="65"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10" xfId="0" applyFont="1" applyFill="1" applyBorder="1" applyAlignment="1">
      <alignment horizontal="center" vertical="center" wrapText="1"/>
    </xf>
    <xf numFmtId="169" fontId="9" fillId="4" borderId="26" xfId="15" applyNumberFormat="1" applyFont="1" applyFill="1" applyBorder="1" applyAlignment="1">
      <alignment horizontal="center" vertical="center"/>
    </xf>
    <xf numFmtId="169" fontId="9" fillId="4" borderId="28" xfId="15" applyNumberFormat="1" applyFont="1" applyFill="1" applyBorder="1" applyAlignment="1">
      <alignment horizontal="center" vertical="center"/>
    </xf>
    <xf numFmtId="0" fontId="9" fillId="4" borderId="21" xfId="0" applyFont="1" applyFill="1" applyBorder="1" applyAlignment="1">
      <alignment horizontal="center" vertical="center"/>
    </xf>
    <xf numFmtId="0" fontId="9" fillId="4" borderId="12"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12" xfId="0" applyFont="1" applyFill="1" applyBorder="1" applyAlignment="1">
      <alignment horizontal="center" vertical="center"/>
    </xf>
    <xf numFmtId="169" fontId="9" fillId="7" borderId="26" xfId="15" applyNumberFormat="1" applyFont="1" applyFill="1" applyBorder="1" applyAlignment="1">
      <alignment horizontal="center" vertical="center"/>
    </xf>
    <xf numFmtId="169" fontId="9" fillId="7" borderId="28" xfId="15" applyNumberFormat="1"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7" borderId="6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11" xfId="0" applyFont="1" applyFill="1" applyBorder="1" applyAlignment="1">
      <alignment horizontal="center" vertical="center" wrapText="1"/>
    </xf>
    <xf numFmtId="169" fontId="9" fillId="7" borderId="65" xfId="15" applyNumberFormat="1" applyFont="1" applyFill="1" applyBorder="1" applyAlignment="1">
      <alignment horizontal="center" vertical="center" wrapText="1"/>
    </xf>
    <xf numFmtId="169" fontId="9" fillId="7" borderId="10" xfId="15" applyNumberFormat="1" applyFont="1" applyFill="1" applyBorder="1" applyAlignment="1">
      <alignment horizontal="center" vertical="center" wrapText="1"/>
    </xf>
    <xf numFmtId="0" fontId="33"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49" fillId="7" borderId="65" xfId="0" applyFont="1" applyFill="1" applyBorder="1" applyAlignment="1">
      <alignment horizontal="center" vertical="center"/>
    </xf>
    <xf numFmtId="0" fontId="1" fillId="0" borderId="0" xfId="0" applyFont="1" applyAlignment="1">
      <alignment horizontal="justify" wrapText="1"/>
    </xf>
    <xf numFmtId="0" fontId="49" fillId="7" borderId="21" xfId="0" applyFont="1" applyFill="1" applyBorder="1" applyAlignment="1">
      <alignment horizontal="center" vertical="center" wrapText="1"/>
    </xf>
    <xf numFmtId="0" fontId="49" fillId="7" borderId="12" xfId="0" applyFont="1" applyFill="1" applyBorder="1" applyAlignment="1">
      <alignment horizontal="center" vertical="center" wrapText="1"/>
    </xf>
    <xf numFmtId="0" fontId="1" fillId="2" borderId="3" xfId="0" applyFont="1" applyFill="1" applyBorder="1" applyAlignment="1">
      <alignment horizontal="justify" vertical="center"/>
    </xf>
    <xf numFmtId="0" fontId="0" fillId="0" borderId="3" xfId="0" applyFont="1" applyBorder="1" applyAlignment="1">
      <alignment horizontal="justify" vertical="center"/>
    </xf>
    <xf numFmtId="0" fontId="1" fillId="2" borderId="0" xfId="0" applyFont="1" applyFill="1" applyBorder="1" applyAlignment="1">
      <alignment horizontal="justify" vertical="center"/>
    </xf>
    <xf numFmtId="0" fontId="0" fillId="0" borderId="0" xfId="0" applyFont="1" applyBorder="1" applyAlignment="1">
      <alignment horizontal="justify" vertical="center"/>
    </xf>
    <xf numFmtId="0" fontId="0" fillId="0" borderId="0" xfId="0" applyAlignment="1">
      <alignment horizontal="center" wrapText="1"/>
    </xf>
    <xf numFmtId="0" fontId="40" fillId="7" borderId="65" xfId="0" applyFont="1" applyFill="1" applyBorder="1" applyAlignment="1">
      <alignment horizontal="center" vertical="center"/>
    </xf>
    <xf numFmtId="0" fontId="40" fillId="7" borderId="22" xfId="0" applyFont="1" applyFill="1" applyBorder="1" applyAlignment="1">
      <alignment horizontal="center" vertical="center"/>
    </xf>
    <xf numFmtId="0" fontId="1" fillId="0" borderId="3" xfId="0" applyFont="1" applyBorder="1" applyAlignment="1">
      <alignment vertical="center" wrapText="1" shrinkToFit="1"/>
    </xf>
    <xf numFmtId="0" fontId="0" fillId="0" borderId="3" xfId="0" applyFont="1" applyBorder="1" applyAlignment="1">
      <alignment vertical="center" wrapText="1"/>
    </xf>
    <xf numFmtId="0" fontId="29" fillId="0" borderId="0" xfId="0" applyFont="1" applyAlignment="1">
      <alignment horizontal="justify" vertical="center" wrapText="1"/>
    </xf>
    <xf numFmtId="0" fontId="0" fillId="0" borderId="0" xfId="0" applyAlignment="1">
      <alignment horizontal="justify"/>
    </xf>
    <xf numFmtId="0" fontId="40" fillId="7" borderId="21" xfId="0" applyFont="1" applyFill="1" applyBorder="1" applyAlignment="1">
      <alignment horizontal="center" vertical="center"/>
    </xf>
    <xf numFmtId="0" fontId="40" fillId="7" borderId="12" xfId="0" applyFont="1" applyFill="1" applyBorder="1" applyAlignment="1">
      <alignment horizontal="center" vertical="center"/>
    </xf>
    <xf numFmtId="0" fontId="75" fillId="0" borderId="1" xfId="0" applyFont="1" applyBorder="1" applyAlignment="1">
      <alignment horizontal="right" vertical="center" wrapText="1"/>
    </xf>
    <xf numFmtId="0" fontId="77" fillId="0" borderId="0" xfId="0" applyFont="1" applyAlignment="1">
      <alignment horizontal="center" wrapText="1"/>
    </xf>
    <xf numFmtId="0" fontId="40" fillId="7" borderId="65" xfId="0" applyFont="1" applyFill="1" applyBorder="1" applyAlignment="1">
      <alignment horizontal="center" vertical="center" wrapText="1"/>
    </xf>
    <xf numFmtId="0" fontId="40" fillId="7" borderId="68" xfId="0" applyFont="1" applyFill="1" applyBorder="1" applyAlignment="1">
      <alignment horizontal="center" vertical="center" wrapText="1"/>
    </xf>
    <xf numFmtId="0" fontId="40" fillId="7" borderId="94" xfId="0" applyFont="1" applyFill="1" applyBorder="1" applyAlignment="1">
      <alignment horizontal="center" vertical="center" wrapText="1"/>
    </xf>
    <xf numFmtId="0" fontId="36" fillId="7" borderId="94" xfId="0" applyFont="1" applyFill="1" applyBorder="1" applyAlignment="1">
      <alignment horizontal="center" vertical="center" wrapText="1"/>
    </xf>
    <xf numFmtId="0" fontId="36" fillId="7" borderId="71" xfId="0" applyFont="1" applyFill="1" applyBorder="1" applyAlignment="1">
      <alignment horizontal="center" vertical="center" wrapText="1"/>
    </xf>
    <xf numFmtId="165" fontId="40" fillId="7" borderId="25" xfId="15" applyNumberFormat="1" applyFont="1" applyFill="1" applyBorder="1" applyAlignment="1">
      <alignment horizontal="center" vertical="center" wrapText="1"/>
    </xf>
    <xf numFmtId="165" fontId="36" fillId="7" borderId="25" xfId="15" applyNumberFormat="1" applyFont="1" applyFill="1" applyBorder="1" applyAlignment="1">
      <alignment horizontal="center" vertical="center" wrapText="1"/>
    </xf>
    <xf numFmtId="165" fontId="36" fillId="7" borderId="23" xfId="15" applyNumberFormat="1" applyFont="1" applyFill="1" applyBorder="1" applyAlignment="1">
      <alignment horizontal="center" vertical="center" wrapText="1"/>
    </xf>
    <xf numFmtId="0" fontId="40" fillId="7" borderId="10" xfId="0" applyFont="1" applyFill="1" applyBorder="1" applyAlignment="1">
      <alignment horizontal="center" vertical="center" wrapText="1"/>
    </xf>
    <xf numFmtId="0" fontId="36" fillId="7" borderId="11" xfId="0" applyFont="1" applyFill="1" applyBorder="1" applyAlignment="1">
      <alignment horizontal="center" vertical="center" wrapText="1"/>
    </xf>
    <xf numFmtId="165" fontId="40" fillId="7" borderId="10" xfId="15" applyNumberFormat="1" applyFont="1" applyFill="1" applyBorder="1" applyAlignment="1">
      <alignment horizontal="center" vertical="center" wrapText="1"/>
    </xf>
    <xf numFmtId="165" fontId="36" fillId="7" borderId="11" xfId="15" applyNumberFormat="1" applyFont="1" applyFill="1" applyBorder="1" applyAlignment="1">
      <alignment horizontal="center" vertical="center" wrapText="1"/>
    </xf>
    <xf numFmtId="0" fontId="36" fillId="7" borderId="10" xfId="0" applyFont="1" applyFill="1" applyBorder="1" applyAlignment="1">
      <alignment horizontal="center" vertical="center" wrapText="1"/>
    </xf>
    <xf numFmtId="0" fontId="57" fillId="2" borderId="0" xfId="0" applyFont="1" applyFill="1" applyBorder="1" applyAlignment="1">
      <alignment horizontal="justify" vertical="center" wrapText="1"/>
    </xf>
    <xf numFmtId="0" fontId="66" fillId="0" borderId="0" xfId="0" applyFont="1" applyAlignment="1">
      <alignment horizontal="justify" vertical="center" wrapText="1"/>
    </xf>
    <xf numFmtId="165" fontId="36" fillId="7" borderId="10" xfId="15" applyNumberFormat="1" applyFont="1" applyFill="1" applyBorder="1" applyAlignment="1">
      <alignment horizontal="center" vertical="center" wrapText="1"/>
    </xf>
    <xf numFmtId="0" fontId="113" fillId="4" borderId="17" xfId="0" applyFont="1" applyFill="1" applyBorder="1" applyAlignment="1">
      <alignment horizontal="center" vertical="center" textRotation="90" wrapText="1"/>
    </xf>
    <xf numFmtId="0" fontId="113" fillId="4" borderId="31" xfId="0" applyFont="1" applyFill="1" applyBorder="1" applyAlignment="1">
      <alignment horizontal="center" vertical="center" textRotation="90" wrapText="1"/>
    </xf>
    <xf numFmtId="0" fontId="113" fillId="4" borderId="18" xfId="0" applyFont="1" applyFill="1" applyBorder="1" applyAlignment="1">
      <alignment horizontal="center" vertical="center" textRotation="90" wrapText="1"/>
    </xf>
    <xf numFmtId="0" fontId="113" fillId="4" borderId="17" xfId="0" applyFont="1" applyFill="1" applyBorder="1" applyAlignment="1">
      <alignment horizontal="center" vertical="center" textRotation="90"/>
    </xf>
    <xf numFmtId="0" fontId="113" fillId="4" borderId="31" xfId="0" applyFont="1" applyFill="1" applyBorder="1" applyAlignment="1">
      <alignment horizontal="center" vertical="center" textRotation="90"/>
    </xf>
    <xf numFmtId="0" fontId="113" fillId="4" borderId="18" xfId="0" applyFont="1" applyFill="1" applyBorder="1" applyAlignment="1">
      <alignment horizontal="center" vertical="center" textRotation="90"/>
    </xf>
    <xf numFmtId="0" fontId="114" fillId="4" borderId="17" xfId="0" applyFont="1" applyFill="1" applyBorder="1" applyAlignment="1">
      <alignment horizontal="center" vertical="center" textRotation="90" wrapText="1"/>
    </xf>
    <xf numFmtId="0" fontId="114" fillId="4" borderId="31" xfId="0" applyFont="1" applyFill="1" applyBorder="1" applyAlignment="1">
      <alignment horizontal="center" vertical="center" textRotation="90" wrapText="1"/>
    </xf>
    <xf numFmtId="0" fontId="114" fillId="4" borderId="18" xfId="0" applyFont="1" applyFill="1" applyBorder="1" applyAlignment="1">
      <alignment horizontal="center" vertical="center" textRotation="90" wrapText="1"/>
    </xf>
    <xf numFmtId="0" fontId="113" fillId="4" borderId="44" xfId="0" applyFont="1" applyFill="1" applyBorder="1" applyAlignment="1">
      <alignment horizontal="center" vertical="center" textRotation="90"/>
    </xf>
    <xf numFmtId="0" fontId="113" fillId="4" borderId="35" xfId="0" applyFont="1" applyFill="1" applyBorder="1" applyAlignment="1">
      <alignment horizontal="center" vertical="center" textRotation="90"/>
    </xf>
    <xf numFmtId="0" fontId="113" fillId="4" borderId="95" xfId="0" applyFont="1" applyFill="1" applyBorder="1" applyAlignment="1">
      <alignment horizontal="center" vertical="center" textRotation="90"/>
    </xf>
    <xf numFmtId="0" fontId="115" fillId="4" borderId="17" xfId="0" applyFont="1" applyFill="1" applyBorder="1" applyAlignment="1">
      <alignment horizontal="center" vertical="center" textRotation="90" wrapText="1"/>
    </xf>
    <xf numFmtId="0" fontId="85" fillId="0" borderId="0" xfId="0" applyFont="1" applyAlignment="1">
      <alignment horizontal="center" vertical="center" wrapText="1"/>
    </xf>
    <xf numFmtId="0" fontId="100" fillId="0" borderId="0" xfId="0" applyFont="1" applyAlignment="1">
      <alignment horizontal="center" vertical="center" wrapText="1"/>
    </xf>
    <xf numFmtId="0" fontId="2" fillId="0" borderId="0" xfId="0" applyFont="1" applyBorder="1" applyAlignment="1">
      <alignment horizontal="left" vertical="center" wrapText="1"/>
    </xf>
    <xf numFmtId="0" fontId="113" fillId="4" borderId="96" xfId="0" applyFont="1" applyFill="1" applyBorder="1" applyAlignment="1">
      <alignment horizontal="center" vertical="center" textRotation="90"/>
    </xf>
    <xf numFmtId="0" fontId="113" fillId="4" borderId="34" xfId="0" applyFont="1" applyFill="1" applyBorder="1" applyAlignment="1">
      <alignment horizontal="center" vertical="center" textRotation="90"/>
    </xf>
    <xf numFmtId="0" fontId="113" fillId="4" borderId="41" xfId="0" applyFont="1" applyFill="1" applyBorder="1" applyAlignment="1">
      <alignment horizontal="center" vertical="center" textRotation="90"/>
    </xf>
    <xf numFmtId="0" fontId="0" fillId="4" borderId="31" xfId="0" applyFill="1" applyBorder="1" applyAlignment="1">
      <alignment/>
    </xf>
    <xf numFmtId="0" fontId="0" fillId="4" borderId="18" xfId="0" applyFill="1" applyBorder="1" applyAlignment="1">
      <alignment/>
    </xf>
    <xf numFmtId="0" fontId="33" fillId="0" borderId="0" xfId="23" applyFont="1" applyAlignment="1">
      <alignment horizontal="center" vertical="center" wrapText="1"/>
      <protection/>
    </xf>
    <xf numFmtId="0" fontId="88" fillId="0" borderId="0" xfId="23" applyFont="1" applyAlignment="1">
      <alignment horizontal="center" vertical="center" wrapText="1"/>
      <protection/>
    </xf>
    <xf numFmtId="0" fontId="2" fillId="4" borderId="21" xfId="23" applyFont="1" applyFill="1" applyBorder="1" applyAlignment="1">
      <alignment vertical="top" textRotation="90"/>
      <protection/>
    </xf>
    <xf numFmtId="0" fontId="2" fillId="4" borderId="12" xfId="23" applyFont="1" applyFill="1" applyBorder="1" applyAlignment="1">
      <alignment vertical="top" textRotation="90"/>
      <protection/>
    </xf>
    <xf numFmtId="0" fontId="2" fillId="0" borderId="0" xfId="0" applyFont="1" applyBorder="1" applyAlignment="1">
      <alignment horizontal="left" wrapText="1"/>
    </xf>
    <xf numFmtId="0" fontId="2" fillId="0" borderId="0" xfId="0" applyFont="1" applyBorder="1" applyAlignment="1">
      <alignment wrapText="1"/>
    </xf>
    <xf numFmtId="0" fontId="2" fillId="4" borderId="12" xfId="23" applyFont="1" applyFill="1" applyBorder="1" applyAlignment="1" quotePrefix="1">
      <alignment vertical="top"/>
      <protection/>
    </xf>
    <xf numFmtId="0" fontId="2" fillId="4" borderId="24" xfId="23" applyFont="1" applyFill="1" applyBorder="1" applyAlignment="1" quotePrefix="1">
      <alignment vertical="top"/>
      <protection/>
    </xf>
    <xf numFmtId="0" fontId="2" fillId="4" borderId="97" xfId="23" applyFont="1" applyFill="1" applyBorder="1" applyAlignment="1">
      <alignment vertical="top" textRotation="90"/>
      <protection/>
    </xf>
    <xf numFmtId="0" fontId="2" fillId="4" borderId="66" xfId="23" applyFont="1" applyFill="1" applyBorder="1" applyAlignment="1">
      <alignment vertical="top" textRotation="90"/>
      <protection/>
    </xf>
    <xf numFmtId="0" fontId="2" fillId="4" borderId="98" xfId="23" applyFont="1" applyFill="1" applyBorder="1" applyAlignment="1">
      <alignment vertical="top" textRotation="90"/>
      <protection/>
    </xf>
    <xf numFmtId="0" fontId="2" fillId="4" borderId="67" xfId="23" applyFont="1" applyFill="1" applyBorder="1" applyAlignment="1">
      <alignment vertical="top" textRotation="90"/>
      <protection/>
    </xf>
    <xf numFmtId="3" fontId="50" fillId="4" borderId="41" xfId="22" applyFont="1" applyFill="1" applyBorder="1" applyAlignment="1">
      <alignment horizontal="center" vertical="center" wrapText="1"/>
      <protection/>
    </xf>
    <xf numFmtId="0" fontId="48" fillId="4" borderId="20" xfId="0" applyFont="1" applyFill="1" applyBorder="1" applyAlignment="1">
      <alignment horizontal="center" vertical="center" wrapText="1"/>
    </xf>
    <xf numFmtId="0" fontId="48" fillId="4" borderId="57" xfId="0" applyFont="1" applyFill="1" applyBorder="1" applyAlignment="1">
      <alignment horizontal="center" vertical="center" wrapText="1"/>
    </xf>
    <xf numFmtId="3" fontId="40" fillId="4" borderId="17" xfId="22" applyFont="1" applyFill="1" applyBorder="1" applyAlignment="1">
      <alignment horizontal="center" vertical="center" wrapText="1"/>
      <protection/>
    </xf>
    <xf numFmtId="0" fontId="1" fillId="4" borderId="31" xfId="0" applyFont="1" applyFill="1" applyBorder="1" applyAlignment="1">
      <alignment horizontal="center" vertical="center" wrapText="1"/>
    </xf>
    <xf numFmtId="3" fontId="122" fillId="4" borderId="64" xfId="22" applyFont="1" applyFill="1" applyBorder="1" applyAlignment="1" quotePrefix="1">
      <alignment horizontal="left" vertical="center" wrapText="1"/>
      <protection/>
    </xf>
    <xf numFmtId="3" fontId="122" fillId="4" borderId="63" xfId="22" applyFont="1" applyFill="1" applyBorder="1" applyAlignment="1" quotePrefix="1">
      <alignment horizontal="left" vertical="center" wrapText="1"/>
      <protection/>
    </xf>
    <xf numFmtId="0" fontId="2" fillId="0" borderId="20" xfId="0" applyFont="1" applyBorder="1" applyAlignment="1">
      <alignment horizontal="left" wrapText="1"/>
    </xf>
    <xf numFmtId="0" fontId="1" fillId="0" borderId="20" xfId="0" applyFont="1" applyBorder="1" applyAlignment="1">
      <alignment wrapText="1"/>
    </xf>
    <xf numFmtId="3" fontId="33" fillId="2" borderId="0" xfId="22" applyFont="1" applyFill="1" applyAlignment="1">
      <alignment horizontal="center" vertical="top" wrapText="1"/>
      <protection/>
    </xf>
    <xf numFmtId="3" fontId="88" fillId="0" borderId="0" xfId="22" applyFont="1" applyAlignment="1">
      <alignment horizontal="center" vertical="top" wrapText="1"/>
      <protection/>
    </xf>
    <xf numFmtId="3" fontId="35" fillId="0" borderId="20" xfId="22" applyFont="1" applyBorder="1" applyAlignment="1">
      <alignment horizontal="right" vertical="center"/>
      <protection/>
    </xf>
    <xf numFmtId="3" fontId="35" fillId="0" borderId="20" xfId="22" applyFont="1" applyBorder="1" applyAlignment="1" quotePrefix="1">
      <alignment horizontal="right" vertical="center"/>
      <protection/>
    </xf>
    <xf numFmtId="3" fontId="40" fillId="4" borderId="17" xfId="22" applyFont="1" applyFill="1" applyBorder="1" applyAlignment="1">
      <alignment horizontal="center" vertical="center" textRotation="90" wrapText="1"/>
      <protection/>
    </xf>
    <xf numFmtId="3" fontId="40" fillId="4" borderId="31" xfId="22" applyFont="1" applyFill="1" applyBorder="1" applyAlignment="1">
      <alignment horizontal="center" vertical="center" textRotation="90" wrapText="1"/>
      <protection/>
    </xf>
    <xf numFmtId="3" fontId="40" fillId="4" borderId="18" xfId="22" applyFont="1" applyFill="1" applyBorder="1" applyAlignment="1">
      <alignment horizontal="center" vertical="center" textRotation="90" wrapText="1"/>
      <protection/>
    </xf>
    <xf numFmtId="3" fontId="40" fillId="4" borderId="56" xfId="22" applyFont="1" applyFill="1" applyBorder="1" applyAlignment="1">
      <alignment horizontal="center" vertical="center" wrapText="1"/>
      <protection/>
    </xf>
    <xf numFmtId="0" fontId="1" fillId="4" borderId="99"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40" fillId="4" borderId="96" xfId="22" applyFont="1" applyFill="1" applyBorder="1" applyAlignment="1">
      <alignment horizontal="center" vertical="center" wrapText="1"/>
      <protection/>
    </xf>
    <xf numFmtId="0" fontId="1" fillId="4" borderId="29" xfId="0" applyFont="1" applyFill="1" applyBorder="1" applyAlignment="1">
      <alignment horizontal="center" vertical="center" wrapText="1"/>
    </xf>
    <xf numFmtId="0" fontId="1" fillId="4" borderId="56" xfId="0" applyFont="1" applyFill="1" applyBorder="1" applyAlignment="1">
      <alignment horizontal="center" vertical="center" wrapText="1"/>
    </xf>
  </cellXfs>
  <cellStyles count="14">
    <cellStyle name="Normal" xfId="0"/>
    <cellStyle name="Comma" xfId="15"/>
    <cellStyle name="Comma [0]" xfId="16"/>
    <cellStyle name="Binlik Ayracı [0]_MYÖ2" xfId="17"/>
    <cellStyle name="Binlik Ayracı_MYÖ2" xfId="18"/>
    <cellStyle name="Binlik Ayracı_Sayfa2" xfId="19"/>
    <cellStyle name="Followed Hyperlink" xfId="20"/>
    <cellStyle name="Hyperlink" xfId="21"/>
    <cellStyle name="Normal_MYÖ2" xfId="22"/>
    <cellStyle name="Normal_Sayfa2" xfId="23"/>
    <cellStyle name="Normal_TABLO-69" xfId="24"/>
    <cellStyle name="Currency" xfId="25"/>
    <cellStyle name="Currency [0]"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image" Target="../media/image25.jpeg" /><Relationship Id="rId2" Type="http://schemas.openxmlformats.org/officeDocument/2006/relationships/image" Target="../media/image26.jpeg" /><Relationship Id="rId3" Type="http://schemas.openxmlformats.org/officeDocument/2006/relationships/image" Target="../media/image27.jpeg" /></Relationships>
</file>

<file path=xl/charts/_rels/chart11.xml.rels><?xml version="1.0" encoding="utf-8" standalone="yes"?><Relationships xmlns="http://schemas.openxmlformats.org/package/2006/relationships"><Relationship Id="rId1" Type="http://schemas.openxmlformats.org/officeDocument/2006/relationships/image" Target="../media/image28.jpeg" /></Relationships>
</file>

<file path=xl/charts/_rels/chart12.xml.rels><?xml version="1.0" encoding="utf-8" standalone="yes"?><Relationships xmlns="http://schemas.openxmlformats.org/package/2006/relationships"><Relationship Id="rId1" Type="http://schemas.openxmlformats.org/officeDocument/2006/relationships/image" Target="../media/image29.jpeg" /></Relationships>
</file>

<file path=xl/charts/_rels/chart13.xml.rels><?xml version="1.0" encoding="utf-8" standalone="yes"?><Relationships xmlns="http://schemas.openxmlformats.org/package/2006/relationships"><Relationship Id="rId1" Type="http://schemas.openxmlformats.org/officeDocument/2006/relationships/image" Target="../media/image30.jpeg" /></Relationships>
</file>

<file path=xl/charts/_rels/chart14.xml.rels><?xml version="1.0" encoding="utf-8" standalone="yes"?><Relationships xmlns="http://schemas.openxmlformats.org/package/2006/relationships"><Relationship Id="rId1" Type="http://schemas.openxmlformats.org/officeDocument/2006/relationships/image" Target="../media/image31.jpeg" /><Relationship Id="rId2" Type="http://schemas.openxmlformats.org/officeDocument/2006/relationships/image" Target="../media/image32.jpeg" /></Relationships>
</file>

<file path=xl/charts/_rels/chart15.xml.rels><?xml version="1.0" encoding="utf-8" standalone="yes"?><Relationships xmlns="http://schemas.openxmlformats.org/package/2006/relationships"><Relationship Id="rId1" Type="http://schemas.openxmlformats.org/officeDocument/2006/relationships/image" Target="../media/image33.jpeg" /></Relationships>
</file>

<file path=xl/charts/_rels/chart16.xml.rels><?xml version="1.0" encoding="utf-8" standalone="yes"?><Relationships xmlns="http://schemas.openxmlformats.org/package/2006/relationships"><Relationship Id="rId1" Type="http://schemas.openxmlformats.org/officeDocument/2006/relationships/image" Target="../media/image34.jpeg" /></Relationships>
</file>

<file path=xl/charts/_rels/chart17.xml.rels><?xml version="1.0" encoding="utf-8" standalone="yes"?><Relationships xmlns="http://schemas.openxmlformats.org/package/2006/relationships"><Relationship Id="rId1" Type="http://schemas.openxmlformats.org/officeDocument/2006/relationships/image" Target="../media/image35.jpeg" /><Relationship Id="rId2" Type="http://schemas.openxmlformats.org/officeDocument/2006/relationships/image" Target="../media/image36.jpeg" /><Relationship Id="rId3" Type="http://schemas.openxmlformats.org/officeDocument/2006/relationships/image" Target="../media/image37.jpeg" /></Relationships>
</file>

<file path=xl/charts/_rels/chart18.xml.rels><?xml version="1.0" encoding="utf-8" standalone="yes"?><Relationships xmlns="http://schemas.openxmlformats.org/package/2006/relationships"><Relationship Id="rId1" Type="http://schemas.openxmlformats.org/officeDocument/2006/relationships/image" Target="../media/image38.jpeg" /><Relationship Id="rId2" Type="http://schemas.openxmlformats.org/officeDocument/2006/relationships/image" Target="../media/image39.jpeg" /><Relationship Id="rId3" Type="http://schemas.openxmlformats.org/officeDocument/2006/relationships/image" Target="../media/image40.jpeg" /></Relationships>
</file>

<file path=xl/charts/_rels/chart19.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charts/_rels/chart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s>
</file>

<file path=xl/charts/_rels/chart5.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charts/_rels/chart6.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charts/_rels/chart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s>
</file>

<file path=xl/charts/_rels/chart8.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20.jpeg" /><Relationship Id="rId3" Type="http://schemas.openxmlformats.org/officeDocument/2006/relationships/image" Target="../media/image21.jpeg" /></Relationships>
</file>

<file path=xl/charts/_rels/chart9.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image" Target="../media/image23.jpeg" /><Relationship Id="rId3" Type="http://schemas.openxmlformats.org/officeDocument/2006/relationships/image" Target="../media/image2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62"/>
          <c:h val="0.88875"/>
        </c:manualLayout>
      </c:layout>
      <c:barChart>
        <c:barDir val="col"/>
        <c:grouping val="clustered"/>
        <c:varyColors val="0"/>
        <c:ser>
          <c:idx val="0"/>
          <c:order val="0"/>
          <c:tx>
            <c:strRef>
              <c:f>'[1]8'!$B$4</c:f>
              <c:strCache>
                <c:ptCount val="1"/>
                <c:pt idx="0">
                  <c:v>SSK (*)</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'[1]8'!$B$5:$B$11</c:f>
              <c:numCache>
                <c:ptCount val="7"/>
                <c:pt idx="0">
                  <c:v>1111000</c:v>
                </c:pt>
                <c:pt idx="1">
                  <c:v>400000</c:v>
                </c:pt>
                <c:pt idx="2">
                  <c:v>1108000</c:v>
                </c:pt>
                <c:pt idx="3">
                  <c:v>2386000</c:v>
                </c:pt>
                <c:pt idx="4">
                  <c:v>4808617</c:v>
                </c:pt>
                <c:pt idx="5">
                  <c:v>5757000</c:v>
                </c:pt>
                <c:pt idx="6">
                  <c:v>6593000</c:v>
                </c:pt>
              </c:numCache>
            </c:numRef>
          </c:val>
        </c:ser>
        <c:ser>
          <c:idx val="1"/>
          <c:order val="1"/>
          <c:tx>
            <c:strRef>
              <c:f>'[1]8'!$C$4</c:f>
              <c:strCache>
                <c:ptCount val="1"/>
                <c:pt idx="0">
                  <c:v>BAĞ - KUR</c:v>
                </c:pt>
              </c:strCache>
            </c:strRef>
          </c:tx>
          <c:spPr>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'[1]8'!$C$5:$C$11</c:f>
              <c:numCache>
                <c:ptCount val="7"/>
                <c:pt idx="0">
                  <c:v>796145</c:v>
                </c:pt>
                <c:pt idx="1">
                  <c:v>1051460</c:v>
                </c:pt>
                <c:pt idx="2">
                  <c:v>1740000</c:v>
                </c:pt>
                <c:pt idx="3">
                  <c:v>2622000</c:v>
                </c:pt>
                <c:pt idx="4">
                  <c:v>4930000</c:v>
                </c:pt>
                <c:pt idx="5">
                  <c:v>5273000</c:v>
                </c:pt>
                <c:pt idx="6">
                  <c:v>6926000</c:v>
                </c:pt>
              </c:numCache>
            </c:numRef>
          </c:val>
        </c:ser>
        <c:ser>
          <c:idx val="2"/>
          <c:order val="2"/>
          <c:tx>
            <c:strRef>
              <c:f>'[1]8'!$D$4</c:f>
              <c:strCache>
                <c:ptCount val="1"/>
                <c:pt idx="0">
                  <c:v> EMEKLİ SANDIĞI</c:v>
                </c:pt>
              </c:strCache>
            </c:strRef>
          </c:tx>
          <c:spPr>
            <a:ln w="25400">
              <a:solidFill>
                <a:srgbClr val="008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'[1]8'!$A$5:$A$11</c:f>
              <c:strCache>
                <c:ptCount val="7"/>
                <c:pt idx="0">
                  <c:v>1999</c:v>
                </c:pt>
                <c:pt idx="1">
                  <c:v>2000</c:v>
                </c:pt>
                <c:pt idx="2">
                  <c:v>2001</c:v>
                </c:pt>
                <c:pt idx="3">
                  <c:v>2002</c:v>
                </c:pt>
                <c:pt idx="4">
                  <c:v>2003</c:v>
                </c:pt>
                <c:pt idx="5">
                  <c:v>2004</c:v>
                </c:pt>
                <c:pt idx="6">
                  <c:v>2005(**)</c:v>
                </c:pt>
              </c:strCache>
            </c:strRef>
          </c:cat>
          <c:val>
            <c:numRef>
              <c:f>'[1]8'!$D$5:$D$11</c:f>
              <c:numCache>
                <c:ptCount val="7"/>
                <c:pt idx="0">
                  <c:v>1035000</c:v>
                </c:pt>
                <c:pt idx="1">
                  <c:v>1775000</c:v>
                </c:pt>
                <c:pt idx="2">
                  <c:v>2675000</c:v>
                </c:pt>
                <c:pt idx="3">
                  <c:v>4676000</c:v>
                </c:pt>
                <c:pt idx="4">
                  <c:v>6145000</c:v>
                </c:pt>
                <c:pt idx="5">
                  <c:v>7800000</c:v>
                </c:pt>
                <c:pt idx="6">
                  <c:v>8889300</c:v>
                </c:pt>
              </c:numCache>
            </c:numRef>
          </c:val>
        </c:ser>
        <c:axId val="61709298"/>
        <c:axId val="18512771"/>
      </c:barChart>
      <c:catAx>
        <c:axId val="61709298"/>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18512771"/>
        <c:crosses val="autoZero"/>
        <c:auto val="1"/>
        <c:lblOffset val="100"/>
        <c:noMultiLvlLbl val="0"/>
      </c:catAx>
      <c:valAx>
        <c:axId val="18512771"/>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617092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Arial Tur"/>
          <a:ea typeface="Arial Tur"/>
          <a:cs typeface="Arial Tu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8 - 2006 Yılı Prim Gelirlerinin Emekli Ödemelerini Karşılama Oranı                                                                                        </a:t>
            </a:r>
            <a:r>
              <a:rPr lang="en-US" cap="none" sz="1200" b="0" i="1" u="none" baseline="0">
                <a:solidFill>
                  <a:srgbClr val="0000FF"/>
                </a:solidFill>
              </a:rPr>
              <a:t>( Compensation rate of Pension Payments by Premium incomes )</a:t>
            </a:r>
          </a:p>
        </c:rich>
      </c:tx>
      <c:layout/>
      <c:spPr>
        <a:noFill/>
        <a:ln>
          <a:noFill/>
        </a:ln>
      </c:spPr>
    </c:title>
    <c:plotArea>
      <c:layout>
        <c:manualLayout>
          <c:xMode val="edge"/>
          <c:yMode val="edge"/>
          <c:x val="0.00975"/>
          <c:y val="0.21975"/>
          <c:w val="0.99025"/>
          <c:h val="0.63625"/>
        </c:manualLayout>
      </c:layout>
      <c:barChart>
        <c:barDir val="col"/>
        <c:grouping val="clustered"/>
        <c:varyColors val="0"/>
        <c:ser>
          <c:idx val="1"/>
          <c:order val="0"/>
          <c:tx>
            <c:strRef>
              <c:f>9!$E$3:$E$4</c:f>
              <c:strCache>
                <c:ptCount val="1"/>
                <c:pt idx="0">
                  <c:v> 2006 YILI  PRİM GELİRLERİ</c:v>
                </c:pt>
              </c:strCache>
            </c:strRef>
          </c:tx>
          <c:spPr>
            <a:gradFill rotWithShape="1">
              <a:gsLst>
                <a:gs pos="0">
                  <a:srgbClr val="FFFF00"/>
                </a:gs>
                <a:gs pos="100000">
                  <a:srgbClr val="7575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9!$A$5:$A$16</c:f>
              <c:strCache/>
            </c:strRef>
          </c:cat>
          <c:val>
            <c:numRef>
              <c:f>9!$E$5:$E$16</c:f>
              <c:numCache/>
            </c:numRef>
          </c:val>
        </c:ser>
        <c:ser>
          <c:idx val="0"/>
          <c:order val="1"/>
          <c:tx>
            <c:strRef>
              <c:f>9!$F$3:$F$4</c:f>
              <c:strCache>
                <c:ptCount val="1"/>
                <c:pt idx="0">
                  <c:v> 2006 YILI  EMEKLİ ÖDEMELERİ</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9!$A$5:$A$16</c:f>
              <c:strCache/>
            </c:strRef>
          </c:cat>
          <c:val>
            <c:numRef>
              <c:f>9!$F$5:$F$16</c:f>
              <c:numCache/>
            </c:numRef>
          </c:val>
        </c:ser>
        <c:axId val="2516790"/>
        <c:axId val="22651111"/>
      </c:barChart>
      <c:lineChart>
        <c:grouping val="standard"/>
        <c:varyColors val="0"/>
        <c:ser>
          <c:idx val="2"/>
          <c:order val="2"/>
          <c:tx>
            <c:strRef>
              <c:f>9!$G$3:$G$4</c:f>
              <c:strCache>
                <c:ptCount val="1"/>
                <c:pt idx="0">
                  <c:v> 2006 YILI  PRİM GELİRLERİNİN EMEKLİ ÖDEMELERİNİ KARŞILAMA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showLegendKey val="0"/>
            <c:showVal val="1"/>
            <c:showBubbleSize val="0"/>
            <c:showCatName val="0"/>
            <c:showSerName val="0"/>
            <c:showLeaderLines val="1"/>
            <c:showPercent val="0"/>
          </c:dLbls>
          <c:cat>
            <c:strRef>
              <c:f>9!$A$5:$A$16</c:f>
              <c:strCache/>
            </c:strRef>
          </c:cat>
          <c:val>
            <c:numRef>
              <c:f>9!$G$5:$G$16</c:f>
              <c:numCache/>
            </c:numRef>
          </c:val>
          <c:smooth val="1"/>
        </c:ser>
        <c:axId val="2533408"/>
        <c:axId val="22800673"/>
      </c:lineChart>
      <c:catAx>
        <c:axId val="2516790"/>
        <c:scaling>
          <c:orientation val="minMax"/>
        </c:scaling>
        <c:axPos val="b"/>
        <c:title>
          <c:tx>
            <c:rich>
              <a:bodyPr vert="horz" rot="0" anchor="ctr"/>
              <a:lstStyle/>
              <a:p>
                <a:pPr algn="ctr">
                  <a:defRPr/>
                </a:pPr>
                <a:r>
                  <a:rPr lang="en-US" cap="none" sz="1000" b="1" i="0" u="none" baseline="0"/>
                  <a:t> Milyar TL</a:t>
                </a:r>
              </a:p>
            </c:rich>
          </c:tx>
          <c:layout>
            <c:manualLayout>
              <c:xMode val="factor"/>
              <c:yMode val="factor"/>
              <c:x val="0.287"/>
              <c:y val="-0.124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1" i="0" u="none" baseline="0"/>
            </a:pPr>
          </a:p>
        </c:txPr>
        <c:crossAx val="22651111"/>
        <c:crosses val="autoZero"/>
        <c:auto val="0"/>
        <c:lblOffset val="100"/>
        <c:noMultiLvlLbl val="0"/>
      </c:catAx>
      <c:valAx>
        <c:axId val="22651111"/>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2516790"/>
        <c:crossesAt val="1"/>
        <c:crossBetween val="between"/>
        <c:dispUnits/>
      </c:valAx>
      <c:catAx>
        <c:axId val="2533408"/>
        <c:scaling>
          <c:orientation val="minMax"/>
        </c:scaling>
        <c:axPos val="b"/>
        <c:title>
          <c:tx>
            <c:rich>
              <a:bodyPr vert="horz" rot="0" anchor="ctr"/>
              <a:lstStyle/>
              <a:p>
                <a:pPr algn="ctr">
                  <a:defRPr/>
                </a:pPr>
                <a:r>
                  <a:rPr lang="en-US" cap="none" sz="1000" b="1" i="0" u="none" baseline="0"/>
                  <a:t>Karşılama Oranı ( % )</a:t>
                </a:r>
              </a:p>
            </c:rich>
          </c:tx>
          <c:layout>
            <c:manualLayout>
              <c:xMode val="factor"/>
              <c:yMode val="factor"/>
              <c:x val="-0.00125"/>
              <c:y val="0.1145"/>
            </c:manualLayout>
          </c:layout>
          <c:overlay val="0"/>
          <c:spPr>
            <a:noFill/>
            <a:ln>
              <a:noFill/>
            </a:ln>
          </c:spPr>
        </c:title>
        <c:delete val="1"/>
        <c:majorTickMark val="in"/>
        <c:minorTickMark val="none"/>
        <c:tickLblPos val="nextTo"/>
        <c:crossAx val="22800673"/>
        <c:crosses val="autoZero"/>
        <c:auto val="0"/>
        <c:lblOffset val="100"/>
        <c:noMultiLvlLbl val="0"/>
      </c:catAx>
      <c:valAx>
        <c:axId val="22800673"/>
        <c:scaling>
          <c:orientation val="minMax"/>
          <c:max val="120"/>
          <c:min val="0"/>
        </c:scaling>
        <c:axPos val="l"/>
        <c:delete val="0"/>
        <c:numFmt formatCode="0" sourceLinked="0"/>
        <c:majorTickMark val="in"/>
        <c:minorTickMark val="none"/>
        <c:tickLblPos val="nextTo"/>
        <c:txPr>
          <a:bodyPr/>
          <a:lstStyle/>
          <a:p>
            <a:pPr>
              <a:defRPr lang="en-US" cap="none" sz="800" b="1" i="0" u="none" baseline="0"/>
            </a:pPr>
          </a:p>
        </c:txPr>
        <c:crossAx val="2533408"/>
        <c:crosses val="max"/>
        <c:crossBetween val="between"/>
        <c:dispUnits/>
        <c:majorUnit val="10"/>
        <c:minorUnit val="10"/>
      </c:valAx>
      <c:spPr>
        <a:blipFill>
          <a:blip r:embed="rId1"/>
          <a:srcRect/>
          <a:tile sx="100000" sy="100000" flip="none" algn="tl"/>
        </a:blipFill>
        <a:ln w="3175">
          <a:noFill/>
        </a:ln>
      </c:spPr>
    </c:plotArea>
    <c:legend>
      <c:legendPos val="r"/>
      <c:layout>
        <c:manualLayout>
          <c:xMode val="edge"/>
          <c:yMode val="edge"/>
          <c:x val="0"/>
          <c:y val="0.8515"/>
          <c:w val="0.9095"/>
          <c:h val="0.148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Grafik9 - 2005 Yılı Hazineden Yapılan Transferler  Oranları</a:t>
            </a:r>
          </a:p>
        </c:rich>
      </c:tx>
      <c:layout>
        <c:manualLayout>
          <c:xMode val="factor"/>
          <c:yMode val="factor"/>
          <c:x val="0.03275"/>
          <c:y val="0.035"/>
        </c:manualLayout>
      </c:layout>
      <c:spPr>
        <a:noFill/>
        <a:ln>
          <a:noFill/>
        </a:ln>
      </c:spPr>
    </c:title>
    <c:view3D>
      <c:rotX val="15"/>
      <c:hPercent val="100"/>
      <c:rotY val="0"/>
      <c:depthPercent val="100"/>
      <c:rAngAx val="1"/>
    </c:view3D>
    <c:plotArea>
      <c:layout>
        <c:manualLayout>
          <c:xMode val="edge"/>
          <c:yMode val="edge"/>
          <c:x val="0"/>
          <c:y val="0.33125"/>
          <c:w val="0.9265"/>
          <c:h val="0.52125"/>
        </c:manualLayout>
      </c:layout>
      <c:pie3DChart>
        <c:varyColors val="1"/>
        <c:ser>
          <c:idx val="0"/>
          <c:order val="0"/>
          <c:spPr>
            <a:gradFill rotWithShape="1">
              <a:gsLst>
                <a:gs pos="0">
                  <a:srgbClr val="465E00"/>
                </a:gs>
                <a:gs pos="100000">
                  <a:srgbClr val="99CC00"/>
                </a:gs>
              </a:gsLst>
              <a:path path="rect">
                <a:fillToRect l="50000" t="50000" r="50000" b="50000"/>
              </a:path>
            </a:gradFill>
            <a:ln w="25400">
              <a:solidFill/>
            </a:ln>
          </c:spPr>
          <c:explosion val="2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465E00"/>
                  </a:gs>
                  <a:gs pos="100000">
                    <a:srgbClr val="99CC00"/>
                  </a:gs>
                </a:gsLst>
                <a:path path="rect">
                  <a:fillToRect l="50000" t="50000" r="50000" b="50000"/>
                </a:path>
              </a:gradFill>
              <a:ln w="25400">
                <a:solidFill/>
              </a:ln>
            </c:spPr>
          </c:dPt>
          <c:dPt>
            <c:idx val="1"/>
            <c:spPr>
              <a:gradFill rotWithShape="1">
                <a:gsLst>
                  <a:gs pos="0">
                    <a:srgbClr val="99CCFF"/>
                  </a:gs>
                  <a:gs pos="50000">
                    <a:srgbClr val="0000FF"/>
                  </a:gs>
                  <a:gs pos="100000">
                    <a:srgbClr val="99CCFF"/>
                  </a:gs>
                </a:gsLst>
                <a:lin ang="2700000" scaled="1"/>
              </a:gradFill>
              <a:ln w="25400">
                <a:solidFill/>
              </a:ln>
            </c:spPr>
          </c:dPt>
          <c:dLbls>
            <c:dLbl>
              <c:idx val="0"/>
              <c:layout>
                <c:manualLayout>
                  <c:x val="0"/>
                  <c:y val="0"/>
                </c:manualLayout>
              </c:layout>
              <c:tx>
                <c:rich>
                  <a:bodyPr vert="horz" rot="0" anchor="ctr"/>
                  <a:lstStyle/>
                  <a:p>
                    <a:pPr algn="ctr">
                      <a:defRPr/>
                    </a:pPr>
                    <a:r>
                      <a:rPr lang="en-US" cap="none" sz="825" b="1" i="0" u="none" baseline="0"/>
                      <a:t> Hazine Yardımı         % 84,76</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825" b="1" i="0" u="none" baseline="0"/>
                      <a:t> Bağ-Kur Adına          
      % 15,24</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825" b="1" i="0" u="none" baseline="0"/>
                </a:pPr>
              </a:p>
            </c:txPr>
            <c:showLegendKey val="0"/>
            <c:showVal val="1"/>
            <c:showBubbleSize val="0"/>
            <c:showCatName val="0"/>
            <c:showSerName val="0"/>
            <c:showLeaderLines val="1"/>
            <c:showPercent val="1"/>
          </c:dLbls>
          <c:val>
            <c:numRef>
              <c:f>'10'!$D$17:$E$17</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10 - 2006 Yılı Hazineden Yapılan Transfer  Oranları</a:t>
            </a:r>
          </a:p>
        </c:rich>
      </c:tx>
      <c:layout>
        <c:manualLayout>
          <c:xMode val="factor"/>
          <c:yMode val="factor"/>
          <c:x val="-0.01475"/>
          <c:y val="0.05975"/>
        </c:manualLayout>
      </c:layout>
      <c:spPr>
        <a:noFill/>
        <a:ln>
          <a:noFill/>
        </a:ln>
      </c:spPr>
    </c:title>
    <c:view3D>
      <c:rotX val="15"/>
      <c:hPercent val="100"/>
      <c:rotY val="0"/>
      <c:depthPercent val="100"/>
      <c:rAngAx val="1"/>
    </c:view3D>
    <c:plotArea>
      <c:layout>
        <c:manualLayout>
          <c:xMode val="edge"/>
          <c:yMode val="edge"/>
          <c:x val="0.288"/>
          <c:y val="0.447"/>
          <c:w val="0.449"/>
          <c:h val="0.429"/>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CC99"/>
                  </a:gs>
                  <a:gs pos="100000">
                    <a:srgbClr val="755E46"/>
                  </a:gs>
                </a:gsLst>
                <a:path path="rect">
                  <a:fillToRect l="100000" b="100000"/>
                </a:path>
              </a:gradFill>
            </c:spPr>
          </c:dPt>
          <c:dPt>
            <c:idx val="1"/>
            <c:spPr>
              <a:gradFill rotWithShape="1">
                <a:gsLst>
                  <a:gs pos="0">
                    <a:srgbClr val="757575"/>
                  </a:gs>
                  <a:gs pos="50000">
                    <a:srgbClr val="FFFFFF"/>
                  </a:gs>
                  <a:gs pos="100000">
                    <a:srgbClr val="757575"/>
                  </a:gs>
                </a:gsLst>
                <a:lin ang="5400000" scaled="1"/>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a:t>
                    </a:r>
                    <a:r>
                      <a:rPr lang="en-US" cap="none" sz="1200" b="1" i="0" u="none" baseline="0"/>
                      <a:t>     %77,1</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 8,4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 14,5
</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'11'!$D$17:$F$17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FF"/>
                </a:solidFill>
              </a:rPr>
              <a:t>Grafik 11 - 2007 /Temmuz
 Ayı itibariyle  Hazineden Yapılan Transfer  Oranları</a:t>
            </a:r>
          </a:p>
        </c:rich>
      </c:tx>
      <c:layout>
        <c:manualLayout>
          <c:xMode val="factor"/>
          <c:yMode val="factor"/>
          <c:x val="-0.007"/>
          <c:y val="-0.00375"/>
        </c:manualLayout>
      </c:layout>
      <c:spPr>
        <a:noFill/>
        <a:ln>
          <a:noFill/>
        </a:ln>
      </c:spPr>
    </c:title>
    <c:view3D>
      <c:rotX val="15"/>
      <c:hPercent val="100"/>
      <c:rotY val="0"/>
      <c:depthPercent val="100"/>
      <c:rAngAx val="1"/>
    </c:view3D>
    <c:plotArea>
      <c:layout>
        <c:manualLayout>
          <c:xMode val="edge"/>
          <c:yMode val="edge"/>
          <c:x val="0.28725"/>
          <c:y val="0.441"/>
          <c:w val="0.45075"/>
          <c:h val="0.43125"/>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5E4675"/>
                  </a:gs>
                  <a:gs pos="100000">
                    <a:srgbClr val="CC99FF"/>
                  </a:gs>
                </a:gsLst>
                <a:path path="rect">
                  <a:fillToRect l="50000" t="50000" r="50000" b="50000"/>
                </a:path>
              </a:gradFill>
            </c:spPr>
          </c:dPt>
          <c:dPt>
            <c:idx val="1"/>
            <c:spPr>
              <a:gradFill rotWithShape="1">
                <a:gsLst>
                  <a:gs pos="0">
                    <a:srgbClr val="757575"/>
                  </a:gs>
                  <a:gs pos="50000">
                    <a:srgbClr val="FFFFFF"/>
                  </a:gs>
                  <a:gs pos="100000">
                    <a:srgbClr val="757575"/>
                  </a:gs>
                </a:gsLst>
                <a:lin ang="5400000" scaled="1"/>
              </a:gradFill>
            </c:spPr>
          </c:dPt>
          <c:dPt>
            <c:idx val="2"/>
            <c:spPr>
              <a:gradFill rotWithShape="1">
                <a:gsLst>
                  <a:gs pos="0">
                    <a:srgbClr val="008000"/>
                  </a:gs>
                  <a:gs pos="100000">
                    <a:srgbClr val="FFFF00"/>
                  </a:gs>
                </a:gsLst>
                <a:path path="rect">
                  <a:fillToRect l="100000" t="100000"/>
                </a:path>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 82,0   </a:t>
                    </a:r>
                    <a:r>
                      <a:rPr lang="en-US" cap="none" sz="1200" b="1" i="0" u="none" baseline="0"/>
                      <a:t>     </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a:t>
                    </a:r>
                    <a:r>
                      <a:rPr lang="en-US" cap="none" sz="900" b="1" i="0" u="none" baseline="0"/>
                      <a:t>  % 7,4</a:t>
                    </a:r>
                    <a:r>
                      <a:rPr lang="en-US" cap="none" sz="1200" b="1" i="0" u="none" baseline="0"/>
                      <a:t>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a:t>
                    </a:r>
                    <a:r>
                      <a:rPr lang="en-US" cap="none" sz="900" b="1" i="0" u="none" baseline="0"/>
                      <a:t>% 10,6</a:t>
                    </a:r>
                    <a:r>
                      <a:rPr lang="en-US" cap="none" sz="1200" b="1" i="0" u="none" baseline="0"/>
                      <a:t>
</a:t>
                    </a:r>
                  </a:p>
                </c:rich>
              </c:tx>
              <c:numFmt formatCode="General" sourceLinked="1"/>
              <c:spPr>
                <a:noFill/>
                <a:ln>
                  <a:noFill/>
                </a:ln>
              </c:spPr>
              <c:showLegendKey val="0"/>
              <c:showVal val="1"/>
              <c:showBubbleSize val="0"/>
              <c:showCatName val="0"/>
              <c:showSerName val="0"/>
              <c:showPercent val="1"/>
            </c:dLbl>
            <c:numFmt formatCode="0.00%" sourceLinked="0"/>
            <c:spPr>
              <a:noFill/>
              <a:ln>
                <a:noFill/>
              </a:ln>
            </c:spPr>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'12'!$D$17:$F$17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0" b="1" i="0" u="none" baseline="0">
                <a:solidFill>
                  <a:srgbClr val="0000FF"/>
                </a:solidFill>
              </a:rPr>
              <a:t>Grafik 12 - Yıllar İtibariyle Aktif - Pasif Oranı</a:t>
            </a:r>
          </a:p>
        </c:rich>
      </c:tx>
      <c:layout/>
      <c:spPr>
        <a:noFill/>
        <a:ln>
          <a:noFill/>
        </a:ln>
      </c:spPr>
    </c:title>
    <c:plotArea>
      <c:layout>
        <c:manualLayout>
          <c:xMode val="edge"/>
          <c:yMode val="edge"/>
          <c:x val="0.0095"/>
          <c:y val="0.19875"/>
          <c:w val="0.9905"/>
          <c:h val="0.71875"/>
        </c:manualLayout>
      </c:layout>
      <c:lineChart>
        <c:grouping val="standard"/>
        <c:varyColors val="0"/>
        <c:ser>
          <c:idx val="2"/>
          <c:order val="0"/>
          <c:spPr>
            <a:ln w="254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a:effectLst>
                <a:outerShdw dist="35921" dir="2700000" algn="br">
                  <a:prstClr val="black"/>
                </a:outerShdw>
              </a:effectLst>
            </c:spPr>
          </c:marker>
          <c:dLbls>
            <c:dLbl>
              <c:idx val="4"/>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55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pPr>
              </a:p>
            </c:txPr>
            <c:dLblPos val="r"/>
            <c:showLegendKey val="0"/>
            <c:showVal val="1"/>
            <c:showBubbleSize val="0"/>
            <c:showCatName val="0"/>
            <c:showSerName val="0"/>
            <c:showLeaderLines val="1"/>
            <c:showPercent val="0"/>
          </c:dLbls>
          <c:cat>
            <c:numRef>
              <c:f>'13'!$A$15:$A$30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'13'!$B$15:$B$30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1"/>
        </c:ser>
        <c:marker val="1"/>
        <c:axId val="3879466"/>
        <c:axId val="34915195"/>
      </c:lineChart>
      <c:catAx>
        <c:axId val="3879466"/>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525"/>
              <c:y val="-0.12125"/>
            </c:manualLayout>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500" b="1" i="0" u="none" baseline="0"/>
            </a:pPr>
          </a:p>
        </c:txPr>
        <c:crossAx val="34915195"/>
        <c:crosses val="autoZero"/>
        <c:auto val="1"/>
        <c:lblOffset val="100"/>
        <c:noMultiLvlLbl val="0"/>
      </c:catAx>
      <c:valAx>
        <c:axId val="34915195"/>
        <c:scaling>
          <c:orientation val="minMax"/>
        </c:scaling>
        <c:axPos val="l"/>
        <c:majorGridlines>
          <c:spPr>
            <a:ln w="3175">
              <a:solidFill/>
              <a:prstDash val="sysDot"/>
            </a:ln>
          </c:spPr>
        </c:majorGridlines>
        <c:delete val="0"/>
        <c:numFmt formatCode="0.00" sourceLinked="0"/>
        <c:majorTickMark val="out"/>
        <c:minorTickMark val="none"/>
        <c:tickLblPos val="nextTo"/>
        <c:spPr>
          <a:ln w="25400">
            <a:solidFill/>
          </a:ln>
        </c:spPr>
        <c:txPr>
          <a:bodyPr/>
          <a:lstStyle/>
          <a:p>
            <a:pPr>
              <a:defRPr lang="en-US" cap="none" sz="800" b="1" i="0" u="none" baseline="0"/>
            </a:pPr>
          </a:p>
        </c:txPr>
        <c:crossAx val="3879466"/>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solidFill>
                  <a:srgbClr val="0000FF"/>
                </a:solidFill>
              </a:rPr>
              <a:t>Grafik 13 - Kurumumuzdan 2007 /Nisan  ayı  itibariyle Aylık ve Gelir Alanların Dağılımı</a:t>
            </a:r>
          </a:p>
        </c:rich>
      </c:tx>
      <c:layout>
        <c:manualLayout>
          <c:xMode val="factor"/>
          <c:yMode val="factor"/>
          <c:x val="-0.00125"/>
          <c:y val="0"/>
        </c:manualLayout>
      </c:layout>
      <c:spPr>
        <a:noFill/>
        <a:ln>
          <a:noFill/>
        </a:ln>
      </c:spPr>
    </c:title>
    <c:view3D>
      <c:rotX val="15"/>
      <c:hPercent val="100"/>
      <c:rotY val="0"/>
      <c:depthPercent val="100"/>
      <c:rAngAx val="1"/>
    </c:view3D>
    <c:plotArea>
      <c:layout>
        <c:manualLayout>
          <c:xMode val="edge"/>
          <c:yMode val="edge"/>
          <c:x val="0.15775"/>
          <c:y val="0.30525"/>
          <c:w val="0.67975"/>
          <c:h val="0.561"/>
        </c:manualLayout>
      </c:layout>
      <c:pie3DChart>
        <c:varyColors val="1"/>
        <c:ser>
          <c:idx val="7"/>
          <c:order val="0"/>
          <c:explosion val="1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FFFF"/>
                  </a:gs>
                  <a:gs pos="100000">
                    <a:srgbClr val="000000"/>
                  </a:gs>
                </a:gsLst>
                <a:path path="rect">
                  <a:fillToRect l="50000" t="50000" r="50000" b="50000"/>
                </a:path>
              </a:gradFill>
            </c:spPr>
          </c:dPt>
          <c:dPt>
            <c:idx val="1"/>
            <c:spPr>
              <a:gradFill rotWithShape="1">
                <a:gsLst>
                  <a:gs pos="0">
                    <a:srgbClr val="752F00"/>
                  </a:gs>
                  <a:gs pos="100000">
                    <a:srgbClr val="FF6600"/>
                  </a:gs>
                </a:gsLst>
                <a:path path="rect">
                  <a:fillToRect l="50000" t="50000" r="50000" b="50000"/>
                </a:path>
              </a:gradFill>
              <a:ln w="25400">
                <a:solidFill/>
              </a:ln>
            </c:spPr>
          </c:dPt>
          <c:dPt>
            <c:idx val="2"/>
            <c:spPr>
              <a:gradFill rotWithShape="1">
                <a:gsLst>
                  <a:gs pos="0">
                    <a:srgbClr val="FFCC00"/>
                  </a:gs>
                  <a:gs pos="100000">
                    <a:srgbClr val="755E00"/>
                  </a:gs>
                </a:gsLst>
                <a:path path="rect">
                  <a:fillToRect l="100000" t="100000"/>
                </a:path>
              </a:gradFill>
            </c:spPr>
          </c:dPt>
          <c:dPt>
            <c:idx val="3"/>
            <c:spPr>
              <a:solidFill>
                <a:srgbClr val="FFFFFF"/>
              </a:solidFill>
              <a:ln w="25400">
                <a:solidFill/>
              </a:ln>
            </c:spPr>
          </c:dPt>
          <c:dPt>
            <c:idx val="4"/>
            <c:spPr>
              <a:solidFill>
                <a:srgbClr val="333333"/>
              </a:solidFill>
            </c:spPr>
          </c:dPt>
          <c:dLbls>
            <c:dLbl>
              <c:idx val="0"/>
              <c:layout>
                <c:manualLayout>
                  <c:x val="0"/>
                  <c:y val="0"/>
                </c:manualLayout>
              </c:layout>
              <c:tx>
                <c:rich>
                  <a:bodyPr vert="horz" rot="0" anchor="ctr"/>
                  <a:lstStyle/>
                  <a:p>
                    <a:pPr algn="ctr">
                      <a:defRPr/>
                    </a:pPr>
                    <a:r>
                      <a:rPr lang="en-US" cap="none" sz="800" b="1" i="0" u="none" baseline="0"/>
                      <a:t>Malullük Aylığı Al.                  </a:t>
                    </a:r>
                  </a:p>
                </c:rich>
              </c:tx>
              <c:numFmt formatCode="General" sourceLinked="1"/>
              <c:spPr>
                <a:noFill/>
                <a:ln>
                  <a:noFill/>
                </a:ln>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800" b="1" i="0" u="none" baseline="0"/>
                      <a:t>Yaşlılık Aylığı Al.                   </a:t>
                    </a:r>
                  </a:p>
                </c:rich>
              </c:tx>
              <c:numFmt formatCode="General" sourceLinked="1"/>
              <c:spPr>
                <a:noFill/>
                <a:ln>
                  <a:noFill/>
                </a:ln>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00" b="1" i="0" u="none" baseline="0"/>
                      <a:t>Ölüm Aylığı Alanlar              </a:t>
                    </a:r>
                  </a:p>
                </c:rich>
              </c:tx>
              <c:numFmt formatCode="General" sourceLinked="1"/>
              <c:spPr>
                <a:noFill/>
                <a:ln>
                  <a:noFill/>
                </a:ln>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800" b="1" i="0" u="none" baseline="0"/>
                      <a:t>Sürekli İşgör.Geliri Al.          </a:t>
                    </a:r>
                  </a:p>
                </c:rich>
              </c:tx>
              <c:numFmt formatCode="General" sourceLinked="1"/>
              <c:spPr>
                <a:noFill/>
                <a:ln>
                  <a:noFill/>
                </a:ln>
              </c:spPr>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800" b="1" i="0" u="none" baseline="0"/>
                      <a:t>İşkazası ve Mes. Hast. Sonucu Ölüm Haksahipleri    
</a:t>
                    </a:r>
                  </a:p>
                </c:rich>
              </c:tx>
              <c:numFmt formatCode="General" sourceLinked="1"/>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800" b="1" i="0" u="none" baseline="0"/>
                </a:pPr>
              </a:p>
            </c:txPr>
            <c:showLegendKey val="0"/>
            <c:showVal val="1"/>
            <c:showBubbleSize val="0"/>
            <c:showCatName val="1"/>
            <c:showSerName val="0"/>
            <c:showLeaderLines val="1"/>
            <c:showPercent val="1"/>
          </c:dLbls>
          <c:cat>
            <c:strRef>
              <c:f>'17'!$A$4:$A$8</c:f>
              <c:strCache/>
            </c:strRef>
          </c:cat>
          <c:val>
            <c:numRef>
              <c:f>'17'!$J$4:$J$8</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575" b="0" i="0" u="none" baseline="0">
          <a:latin typeface="Arial Tur"/>
          <a:ea typeface="Arial Tur"/>
          <a:cs typeface="Arial Tu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solidFill>
                  <a:srgbClr val="0000FF"/>
                </a:solidFill>
              </a:rPr>
              <a:t>Grafik 14 - Kurumumuzdan 2007  yılı Haziran ayı içinde Aylık ve Gelir Bağlananların  Sayısı</a:t>
            </a:r>
          </a:p>
        </c:rich>
      </c:tx>
      <c:layout>
        <c:manualLayout>
          <c:xMode val="factor"/>
          <c:yMode val="factor"/>
          <c:x val="0.004"/>
          <c:y val="-0.013"/>
        </c:manualLayout>
      </c:layout>
      <c:spPr>
        <a:noFill/>
        <a:ln>
          <a:noFill/>
        </a:ln>
      </c:spPr>
    </c:title>
    <c:view3D>
      <c:rotX val="15"/>
      <c:hPercent val="100"/>
      <c:rotY val="0"/>
      <c:depthPercent val="100"/>
      <c:rAngAx val="1"/>
    </c:view3D>
    <c:plotArea>
      <c:layout>
        <c:manualLayout>
          <c:xMode val="edge"/>
          <c:yMode val="edge"/>
          <c:x val="0.244"/>
          <c:y val="0.44925"/>
          <c:w val="0.44825"/>
          <c:h val="0.386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pattFill prst="wdDnDiag">
                <a:fgClr>
                  <a:srgbClr val="000000"/>
                </a:fgClr>
                <a:bgClr>
                  <a:srgbClr val="FFFFFF"/>
                </a:bgClr>
              </a:pattFill>
            </c:spPr>
          </c:dPt>
          <c:dPt>
            <c:idx val="1"/>
            <c:spPr>
              <a:gradFill rotWithShape="1">
                <a:gsLst>
                  <a:gs pos="0">
                    <a:srgbClr val="FFFFFF"/>
                  </a:gs>
                  <a:gs pos="100000">
                    <a:srgbClr val="969696"/>
                  </a:gs>
                </a:gsLst>
                <a:path path="rect">
                  <a:fillToRect l="50000" t="50000" r="50000" b="50000"/>
                </a:path>
              </a:gradFill>
            </c:spPr>
          </c:dPt>
          <c:dPt>
            <c:idx val="3"/>
            <c:spPr>
              <a:solidFill>
                <a:srgbClr val="333333"/>
              </a:solidFill>
            </c:spPr>
          </c:dPt>
          <c:dPt>
            <c:idx val="4"/>
            <c:spPr>
              <a:solidFill>
                <a:srgbClr val="FFFFFF"/>
              </a:solidFill>
            </c:spPr>
          </c:dPt>
          <c:dLbls>
            <c:dLbl>
              <c:idx val="0"/>
              <c:layout>
                <c:manualLayout>
                  <c:x val="0"/>
                  <c:y val="0"/>
                </c:manualLayout>
              </c:layout>
              <c:tx>
                <c:rich>
                  <a:bodyPr vert="horz" rot="0" anchor="ctr"/>
                  <a:lstStyle/>
                  <a:p>
                    <a:pPr algn="ctr">
                      <a:defRPr/>
                    </a:pPr>
                    <a:r>
                      <a:rPr lang="en-US" cap="none" sz="800" b="1" i="0" u="none" baseline="0"/>
                      <a:t>Malüllük Aylığı Alanlar </a:t>
                    </a:r>
                  </a:p>
                </c:rich>
              </c:tx>
              <c:numFmt formatCode="General" sourceLinked="1"/>
              <c:spPr>
                <a:noFill/>
                <a:ln>
                  <a:noFill/>
                </a:ln>
              </c:spPr>
              <c:showLegendKey val="0"/>
              <c:showVal val="1"/>
              <c:showBubbleSize val="0"/>
              <c:showCatName val="0"/>
              <c:showSerName val="1"/>
              <c:showPercent val="1"/>
            </c:dLbl>
            <c:dLbl>
              <c:idx val="1"/>
              <c:layout>
                <c:manualLayout>
                  <c:x val="0"/>
                  <c:y val="0"/>
                </c:manualLayout>
              </c:layout>
              <c:tx>
                <c:rich>
                  <a:bodyPr vert="horz" rot="0" anchor="ctr"/>
                  <a:lstStyle/>
                  <a:p>
                    <a:pPr algn="ctr">
                      <a:defRPr/>
                    </a:pPr>
                    <a:r>
                      <a:rPr lang="en-US" cap="none" sz="800" b="1" i="0" u="none" baseline="0"/>
                      <a:t>Yaşlılık Aylığı Alanlar </a:t>
                    </a:r>
                  </a:p>
                </c:rich>
              </c:tx>
              <c:numFmt formatCode="General" sourceLinked="1"/>
              <c:spPr>
                <a:noFill/>
                <a:ln>
                  <a:noFill/>
                </a:ln>
              </c:spPr>
              <c:showLegendKey val="0"/>
              <c:showVal val="1"/>
              <c:showBubbleSize val="0"/>
              <c:showCatName val="0"/>
              <c:showSerName val="1"/>
              <c:showPercent val="1"/>
            </c:dLbl>
            <c:dLbl>
              <c:idx val="2"/>
              <c:layout>
                <c:manualLayout>
                  <c:x val="0"/>
                  <c:y val="0"/>
                </c:manualLayout>
              </c:layout>
              <c:tx>
                <c:rich>
                  <a:bodyPr vert="horz" rot="0" anchor="ctr"/>
                  <a:lstStyle/>
                  <a:p>
                    <a:pPr algn="ctr">
                      <a:defRPr/>
                    </a:pPr>
                    <a:r>
                      <a:rPr lang="en-US" cap="none" sz="800" b="1" i="0" u="none" baseline="0"/>
                      <a:t>Ölüm Aylığı Al.           </a:t>
                    </a:r>
                  </a:p>
                </c:rich>
              </c:tx>
              <c:numFmt formatCode="General" sourceLinked="1"/>
              <c:spPr>
                <a:noFill/>
                <a:ln>
                  <a:noFill/>
                </a:ln>
              </c:spPr>
              <c:showLegendKey val="0"/>
              <c:showVal val="1"/>
              <c:showBubbleSize val="0"/>
              <c:showCatName val="0"/>
              <c:showSerName val="1"/>
              <c:showPercent val="1"/>
            </c:dLbl>
            <c:dLbl>
              <c:idx val="3"/>
              <c:layout>
                <c:manualLayout>
                  <c:x val="0"/>
                  <c:y val="0"/>
                </c:manualLayout>
              </c:layout>
              <c:tx>
                <c:rich>
                  <a:bodyPr vert="horz" rot="0" anchor="ctr"/>
                  <a:lstStyle/>
                  <a:p>
                    <a:pPr algn="ctr">
                      <a:defRPr/>
                    </a:pPr>
                    <a:r>
                      <a:rPr lang="en-US" cap="none" sz="800" b="1" i="0" u="none" baseline="0"/>
                      <a:t>Sürekli İşgör.Gel. Alanlar    </a:t>
                    </a:r>
                  </a:p>
                </c:rich>
              </c:tx>
              <c:numFmt formatCode="General" sourceLinked="1"/>
              <c:spPr>
                <a:noFill/>
                <a:ln>
                  <a:noFill/>
                </a:ln>
              </c:spPr>
              <c:showLegendKey val="0"/>
              <c:showVal val="1"/>
              <c:showBubbleSize val="0"/>
              <c:showCatName val="0"/>
              <c:showSerName val="1"/>
              <c:showPercent val="1"/>
            </c:dLbl>
            <c:dLbl>
              <c:idx val="4"/>
              <c:layout>
                <c:manualLayout>
                  <c:x val="0"/>
                  <c:y val="0"/>
                </c:manualLayout>
              </c:layout>
              <c:tx>
                <c:rich>
                  <a:bodyPr vert="horz" rot="0" anchor="ctr"/>
                  <a:lstStyle/>
                  <a:p>
                    <a:pPr algn="ctr">
                      <a:defRPr/>
                    </a:pPr>
                    <a:r>
                      <a:rPr lang="en-US" cap="none" sz="800" b="1" i="0" u="none" baseline="0"/>
                      <a:t>İşkazası ve Mes. Hast. Sonucu Ölüm Hak Sahipleri ( Kişi )            </a:t>
                    </a:r>
                  </a:p>
                </c:rich>
              </c:tx>
              <c:numFmt formatCode="General" sourceLinked="1"/>
              <c:spPr>
                <a:noFill/>
                <a:ln>
                  <a:noFill/>
                </a:ln>
              </c:spPr>
              <c:showLegendKey val="0"/>
              <c:showVal val="1"/>
              <c:showBubbleSize val="0"/>
              <c:showCatName val="0"/>
              <c:showSerName val="1"/>
              <c:showPercent val="1"/>
            </c:dLbl>
            <c:numFmt formatCode="0%" sourceLinked="0"/>
            <c:spPr>
              <a:noFill/>
              <a:ln>
                <a:noFill/>
              </a:ln>
            </c:spPr>
            <c:txPr>
              <a:bodyPr vert="horz" rot="0" anchor="ctr"/>
              <a:lstStyle/>
              <a:p>
                <a:pPr algn="ctr">
                  <a:defRPr lang="en-US" cap="none" sz="800" b="1" i="0" u="none" baseline="0"/>
                </a:pPr>
              </a:p>
            </c:txPr>
            <c:showLegendKey val="0"/>
            <c:showVal val="1"/>
            <c:showBubbleSize val="0"/>
            <c:showCatName val="0"/>
            <c:showSerName val="1"/>
            <c:showLeaderLines val="1"/>
            <c:showPercent val="1"/>
          </c:dLbls>
          <c:val>
            <c:numRef>
              <c:f>'17'!$M$32:$M$36</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575" b="0" i="0" u="none" baseline="0">
          <a:latin typeface="Arial Tur"/>
          <a:ea typeface="Arial Tur"/>
          <a:cs typeface="Arial Tur"/>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15 - Yıllar İtibariyle Emekli Aylıklarının Artış Oranı ve TÜFE'ye göre Seviyeleri </a:t>
            </a:r>
            <a:r>
              <a:rPr lang="en-US" cap="none" sz="1200" b="0" i="1" u="none" baseline="0">
                <a:solidFill>
                  <a:srgbClr val="0000FF"/>
                </a:solidFill>
              </a:rPr>
              <a:t>( SYZ Dahil )</a:t>
            </a:r>
          </a:p>
        </c:rich>
      </c:tx>
      <c:layout/>
      <c:spPr>
        <a:noFill/>
        <a:ln>
          <a:noFill/>
        </a:ln>
      </c:spPr>
    </c:title>
    <c:plotArea>
      <c:layout>
        <c:manualLayout>
          <c:xMode val="edge"/>
          <c:yMode val="edge"/>
          <c:x val="0.0165"/>
          <c:y val="0.282"/>
          <c:w val="0.96725"/>
          <c:h val="0.56775"/>
        </c:manualLayout>
      </c:layout>
      <c:lineChart>
        <c:grouping val="standard"/>
        <c:varyColors val="0"/>
        <c:ser>
          <c:idx val="0"/>
          <c:order val="0"/>
          <c:tx>
            <c:strRef>
              <c:f>'18'!$H$1</c:f>
              <c:strCache>
                <c:ptCount val="1"/>
                <c:pt idx="0">
                  <c:v>Asgari Aylık Artış Oranı</c:v>
                </c:pt>
              </c:strCache>
            </c:strRef>
          </c:tx>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1" i="0" u="none" baseline="0"/>
                </a:pPr>
              </a:p>
            </c:txPr>
            <c:showLegendKey val="0"/>
            <c:showVal val="1"/>
            <c:showBubbleSize val="0"/>
            <c:showCatName val="0"/>
            <c:showSerName val="0"/>
            <c:showLeaderLines val="1"/>
            <c:showPercent val="0"/>
          </c:dLbls>
          <c:cat>
            <c:numRef>
              <c:f>'18'!$G$2:$G$7</c:f>
              <c:numCache>
                <c:ptCount val="6"/>
                <c:pt idx="0">
                  <c:v>0</c:v>
                </c:pt>
                <c:pt idx="1">
                  <c:v>0</c:v>
                </c:pt>
                <c:pt idx="2">
                  <c:v>0</c:v>
                </c:pt>
                <c:pt idx="3">
                  <c:v>0</c:v>
                </c:pt>
                <c:pt idx="4">
                  <c:v>0</c:v>
                </c:pt>
                <c:pt idx="5">
                  <c:v>0</c:v>
                </c:pt>
              </c:numCache>
            </c:numRef>
          </c:cat>
          <c:val>
            <c:numRef>
              <c:f>'18'!$H$2:$H$8</c:f>
              <c:numCache>
                <c:ptCount val="7"/>
                <c:pt idx="0">
                  <c:v>0</c:v>
                </c:pt>
                <c:pt idx="1">
                  <c:v>0</c:v>
                </c:pt>
                <c:pt idx="2">
                  <c:v>0</c:v>
                </c:pt>
                <c:pt idx="3">
                  <c:v>0</c:v>
                </c:pt>
                <c:pt idx="4">
                  <c:v>0</c:v>
                </c:pt>
                <c:pt idx="5">
                  <c:v>0</c:v>
                </c:pt>
                <c:pt idx="6">
                  <c:v>0</c:v>
                </c:pt>
              </c:numCache>
            </c:numRef>
          </c:val>
          <c:smooth val="1"/>
        </c:ser>
        <c:ser>
          <c:idx val="1"/>
          <c:order val="1"/>
          <c:tx>
            <c:strRef>
              <c:f>'18'!$I$1</c:f>
              <c:strCache>
                <c:ptCount val="1"/>
                <c:pt idx="0">
                  <c:v>TÜFE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pPr>
                </a:p>
              </c:txPr>
              <c:numFmt formatCode="General" sourceLinked="1"/>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575" b="1" i="0" u="none" baseline="0"/>
                      <a:t>10,53</a:t>
                    </a:r>
                  </a:p>
                </c:rich>
              </c:tx>
              <c:numFmt formatCode="General" sourceLinked="1"/>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pPr>
              </a:p>
            </c:txPr>
            <c:dLblPos val="r"/>
            <c:showLegendKey val="0"/>
            <c:showVal val="1"/>
            <c:showBubbleSize val="0"/>
            <c:showCatName val="0"/>
            <c:showSerName val="0"/>
            <c:showLeaderLines val="1"/>
            <c:showPercent val="0"/>
          </c:dLbls>
          <c:cat>
            <c:numRef>
              <c:f>'18'!$G$2:$G$7</c:f>
              <c:numCache>
                <c:ptCount val="6"/>
                <c:pt idx="0">
                  <c:v>0</c:v>
                </c:pt>
                <c:pt idx="1">
                  <c:v>0</c:v>
                </c:pt>
                <c:pt idx="2">
                  <c:v>0</c:v>
                </c:pt>
                <c:pt idx="3">
                  <c:v>0</c:v>
                </c:pt>
                <c:pt idx="4">
                  <c:v>0</c:v>
                </c:pt>
                <c:pt idx="5">
                  <c:v>0</c:v>
                </c:pt>
              </c:numCache>
            </c:numRef>
          </c:cat>
          <c:val>
            <c:numRef>
              <c:f>'18'!$I$2:$I$7</c:f>
              <c:numCache>
                <c:ptCount val="6"/>
                <c:pt idx="0">
                  <c:v>0</c:v>
                </c:pt>
                <c:pt idx="1">
                  <c:v>0</c:v>
                </c:pt>
                <c:pt idx="2">
                  <c:v>0</c:v>
                </c:pt>
                <c:pt idx="3">
                  <c:v>0</c:v>
                </c:pt>
                <c:pt idx="4">
                  <c:v>0</c:v>
                </c:pt>
                <c:pt idx="5">
                  <c:v>0</c:v>
                </c:pt>
              </c:numCache>
            </c:numRef>
          </c:val>
          <c:smooth val="1"/>
        </c:ser>
        <c:marker val="1"/>
        <c:axId val="45801300"/>
        <c:axId val="9558517"/>
      </c:lineChart>
      <c:catAx>
        <c:axId val="45801300"/>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9558517"/>
        <c:crosses val="autoZero"/>
        <c:auto val="1"/>
        <c:lblOffset val="100"/>
        <c:noMultiLvlLbl val="0"/>
      </c:catAx>
      <c:valAx>
        <c:axId val="9558517"/>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575" b="1" i="0" u="none" baseline="0"/>
            </a:pPr>
          </a:p>
        </c:txPr>
        <c:crossAx val="45801300"/>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88175"/>
          <c:w val="0.88825"/>
          <c:h val="0.0862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16 - SSK'nın  İlaç Ödemelerinin Sağlık Ödemelerine Oranı</a:t>
            </a:r>
          </a:p>
        </c:rich>
      </c:tx>
      <c:layout/>
      <c:spPr>
        <a:noFill/>
        <a:ln>
          <a:noFill/>
        </a:ln>
      </c:spPr>
    </c:title>
    <c:plotArea>
      <c:layout/>
      <c:barChart>
        <c:barDir val="col"/>
        <c:grouping val="clustered"/>
        <c:varyColors val="0"/>
        <c:ser>
          <c:idx val="1"/>
          <c:order val="0"/>
          <c:spPr>
            <a:gradFill rotWithShape="1">
              <a:gsLst>
                <a:gs pos="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'20'!$A$11:$A$18</c:f>
              <c:strCache/>
            </c:strRef>
          </c:cat>
          <c:val>
            <c:numRef>
              <c:f>'20'!$B$11:$B$18</c:f>
              <c:numCache>
                <c:ptCount val="8"/>
                <c:pt idx="0">
                  <c:v>0</c:v>
                </c:pt>
                <c:pt idx="1">
                  <c:v>0</c:v>
                </c:pt>
                <c:pt idx="2">
                  <c:v>0</c:v>
                </c:pt>
                <c:pt idx="3">
                  <c:v>0</c:v>
                </c:pt>
                <c:pt idx="4">
                  <c:v>0</c:v>
                </c:pt>
                <c:pt idx="5">
                  <c:v>0</c:v>
                </c:pt>
                <c:pt idx="6">
                  <c:v>0</c:v>
                </c:pt>
                <c:pt idx="7">
                  <c:v>0</c:v>
                </c:pt>
              </c:numCache>
            </c:numRef>
          </c:val>
        </c:ser>
        <c:ser>
          <c:idx val="0"/>
          <c:order val="1"/>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'20'!$A$11:$A$18</c:f>
              <c:strCache/>
            </c:strRef>
          </c:cat>
          <c:val>
            <c:numRef>
              <c:f>'20'!$C$11:$C$18</c:f>
              <c:numCache>
                <c:ptCount val="8"/>
                <c:pt idx="0">
                  <c:v>0</c:v>
                </c:pt>
                <c:pt idx="1">
                  <c:v>0</c:v>
                </c:pt>
                <c:pt idx="2">
                  <c:v>0</c:v>
                </c:pt>
                <c:pt idx="3">
                  <c:v>0</c:v>
                </c:pt>
                <c:pt idx="4">
                  <c:v>0</c:v>
                </c:pt>
                <c:pt idx="5">
                  <c:v>0</c:v>
                </c:pt>
                <c:pt idx="6">
                  <c:v>0</c:v>
                </c:pt>
                <c:pt idx="7">
                  <c:v>0</c:v>
                </c:pt>
              </c:numCache>
            </c:numRef>
          </c:val>
        </c:ser>
        <c:axId val="18917790"/>
        <c:axId val="36042383"/>
      </c:barChart>
      <c:lineChart>
        <c:grouping val="standard"/>
        <c:varyColors val="0"/>
        <c:ser>
          <c:idx val="3"/>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LeaderLines val="1"/>
            <c:showPercent val="0"/>
          </c:dLbls>
          <c:cat>
            <c:strRef>
              <c:f>'20'!$A$11:$A$18</c:f>
              <c:strCache/>
            </c:strRef>
          </c:cat>
          <c:val>
            <c:numRef>
              <c:f>'20'!$E$11:$E$18</c:f>
              <c:numCache>
                <c:ptCount val="8"/>
                <c:pt idx="0">
                  <c:v>0</c:v>
                </c:pt>
                <c:pt idx="1">
                  <c:v>0</c:v>
                </c:pt>
                <c:pt idx="2">
                  <c:v>0</c:v>
                </c:pt>
                <c:pt idx="3">
                  <c:v>0</c:v>
                </c:pt>
                <c:pt idx="4">
                  <c:v>0</c:v>
                </c:pt>
                <c:pt idx="5">
                  <c:v>0</c:v>
                </c:pt>
                <c:pt idx="6">
                  <c:v>0</c:v>
                </c:pt>
                <c:pt idx="7">
                  <c:v>0</c:v>
                </c:pt>
              </c:numCache>
            </c:numRef>
          </c:val>
          <c:smooth val="1"/>
        </c:ser>
        <c:axId val="55945992"/>
        <c:axId val="33751881"/>
      </c:lineChart>
      <c:catAx>
        <c:axId val="18917790"/>
        <c:scaling>
          <c:orientation val="minMax"/>
        </c:scaling>
        <c:axPos val="b"/>
        <c:delete val="0"/>
        <c:numFmt formatCode="General" sourceLinked="1"/>
        <c:majorTickMark val="cross"/>
        <c:minorTickMark val="none"/>
        <c:tickLblPos val="nextTo"/>
        <c:txPr>
          <a:bodyPr vert="horz" rot="5400000"/>
          <a:lstStyle/>
          <a:p>
            <a:pPr>
              <a:defRPr lang="en-US" cap="none" sz="800" b="1" i="0" u="none" baseline="0"/>
            </a:pPr>
          </a:p>
        </c:txPr>
        <c:crossAx val="36042383"/>
        <c:crosses val="autoZero"/>
        <c:auto val="0"/>
        <c:lblOffset val="100"/>
        <c:noMultiLvlLbl val="0"/>
      </c:catAx>
      <c:valAx>
        <c:axId val="36042383"/>
        <c:scaling>
          <c:orientation val="minMax"/>
        </c:scaling>
        <c:axPos val="l"/>
        <c:delete val="0"/>
        <c:numFmt formatCode="General" sourceLinked="1"/>
        <c:majorTickMark val="in"/>
        <c:minorTickMark val="none"/>
        <c:tickLblPos val="nextTo"/>
        <c:txPr>
          <a:bodyPr/>
          <a:lstStyle/>
          <a:p>
            <a:pPr>
              <a:defRPr lang="en-US" cap="none" sz="900" b="1" i="0" u="none" baseline="0"/>
            </a:pPr>
          </a:p>
        </c:txPr>
        <c:crossAx val="18917790"/>
        <c:crossesAt val="1"/>
        <c:crossBetween val="between"/>
        <c:dispUnits/>
      </c:valAx>
      <c:catAx>
        <c:axId val="55945992"/>
        <c:scaling>
          <c:orientation val="minMax"/>
        </c:scaling>
        <c:axPos val="b"/>
        <c:delete val="1"/>
        <c:majorTickMark val="in"/>
        <c:minorTickMark val="none"/>
        <c:tickLblPos val="nextTo"/>
        <c:crossAx val="33751881"/>
        <c:crosses val="autoZero"/>
        <c:auto val="0"/>
        <c:lblOffset val="100"/>
        <c:noMultiLvlLbl val="0"/>
      </c:catAx>
      <c:valAx>
        <c:axId val="33751881"/>
        <c:scaling>
          <c:orientation val="minMax"/>
        </c:scaling>
        <c:axPos val="l"/>
        <c:delete val="0"/>
        <c:numFmt formatCode="General" sourceLinked="1"/>
        <c:majorTickMark val="in"/>
        <c:minorTickMark val="none"/>
        <c:tickLblPos val="nextTo"/>
        <c:txPr>
          <a:bodyPr/>
          <a:lstStyle/>
          <a:p>
            <a:pPr>
              <a:defRPr lang="en-US" cap="none" sz="900" b="1" i="0" u="none" baseline="0"/>
            </a:pPr>
          </a:p>
        </c:txPr>
        <c:crossAx val="55945992"/>
        <c:crosses val="max"/>
        <c:crossBetween val="between"/>
        <c:dispUnits/>
      </c:valAx>
      <c:spPr>
        <a:blipFill>
          <a:blip r:embed="rId2"/>
          <a:srcRect/>
          <a:tile sx="100000" sy="100000" flip="none" algn="tl"/>
        </a:blipFill>
        <a:ln w="3175">
          <a:noFill/>
        </a:ln>
      </c:spPr>
    </c:plotArea>
    <c:plotVisOnly val="1"/>
    <c:dispBlanksAs val="gap"/>
    <c:showDLblsOverMax val="0"/>
  </c:chart>
  <c:spPr>
    <a:blipFill>
      <a:blip r:embed="rId3"/>
      <a:srcRect/>
      <a:tile sx="100000" sy="100000" flip="none" algn="tl"/>
    </a:blipFill>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17 - Yıllar İtibariyle  Sağlık Tesislerinde Gerçekleşen Poliklinik Sayıları</a:t>
            </a:r>
          </a:p>
        </c:rich>
      </c:tx>
      <c:layout/>
      <c:spPr>
        <a:noFill/>
        <a:ln>
          <a:noFill/>
        </a:ln>
      </c:spPr>
    </c:title>
    <c:plotArea>
      <c:layout/>
      <c:barChart>
        <c:barDir val="col"/>
        <c:grouping val="clustered"/>
        <c:varyColors val="0"/>
        <c:ser>
          <c:idx val="0"/>
          <c:order val="0"/>
          <c:tx>
            <c:strRef>
              <c:f>'21'!$A$5</c:f>
              <c:strCache>
                <c:ptCount val="1"/>
                <c:pt idx="0">
                  <c:v>POLİKLİNİK SAYISI</c:v>
                </c:pt>
              </c:strCache>
            </c:strRef>
          </c:tx>
          <c:spPr>
            <a:solidFill>
              <a:srgbClr val="339966"/>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3333"/>
                  </a:solidFill>
                </c14:spPr>
              </c14:invertSolidFillFmt>
            </c:ext>
          </c:extLst>
          <c:dLbls>
            <c:dLbl>
              <c:idx val="2"/>
              <c:layout>
                <c:manualLayout>
                  <c:x val="0"/>
                  <c:y val="0"/>
                </c:manualLayout>
              </c:layout>
              <c:txPr>
                <a:bodyPr vert="horz" rot="0" anchor="ctr"/>
                <a:lstStyle/>
                <a:p>
                  <a:pPr algn="ctr">
                    <a:defRPr lang="en-US" cap="none" sz="112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2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pPr>
              </a:p>
            </c:txPr>
            <c:showLegendKey val="0"/>
            <c:showVal val="1"/>
            <c:showBubbleSize val="0"/>
            <c:showCatName val="0"/>
            <c:showSerName val="0"/>
            <c:showPercent val="0"/>
          </c:dLbls>
          <c:cat>
            <c:numRef>
              <c:f>'21'!$B$4:$F$4</c:f>
              <c:numCache>
                <c:ptCount val="5"/>
                <c:pt idx="0">
                  <c:v>0</c:v>
                </c:pt>
                <c:pt idx="1">
                  <c:v>0</c:v>
                </c:pt>
                <c:pt idx="2">
                  <c:v>0</c:v>
                </c:pt>
                <c:pt idx="3">
                  <c:v>0</c:v>
                </c:pt>
                <c:pt idx="4">
                  <c:v>0</c:v>
                </c:pt>
              </c:numCache>
            </c:numRef>
          </c:cat>
          <c:val>
            <c:numRef>
              <c:f>'21'!$B$5:$F$5</c:f>
              <c:numCache>
                <c:ptCount val="5"/>
                <c:pt idx="0">
                  <c:v>0</c:v>
                </c:pt>
                <c:pt idx="1">
                  <c:v>0</c:v>
                </c:pt>
                <c:pt idx="2">
                  <c:v>0</c:v>
                </c:pt>
                <c:pt idx="3">
                  <c:v>0</c:v>
                </c:pt>
                <c:pt idx="4">
                  <c:v>0</c:v>
                </c:pt>
              </c:numCache>
            </c:numRef>
          </c:val>
        </c:ser>
        <c:axId val="35331474"/>
        <c:axId val="49547811"/>
      </c:barChart>
      <c:catAx>
        <c:axId val="35331474"/>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49547811"/>
        <c:crosses val="autoZero"/>
        <c:auto val="1"/>
        <c:lblOffset val="100"/>
        <c:noMultiLvlLbl val="0"/>
      </c:catAx>
      <c:valAx>
        <c:axId val="4954781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1" i="0" u="none" baseline="0"/>
            </a:pPr>
          </a:p>
        </c:txPr>
        <c:crossAx val="35331474"/>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1 -KADRO VE ÇALIŞAN PERSONEL DAĞILIMI
(30.06.2007 )</a:t>
            </a:r>
          </a:p>
        </c:rich>
      </c:tx>
      <c:layout>
        <c:manualLayout>
          <c:xMode val="factor"/>
          <c:yMode val="factor"/>
          <c:x val="0.007"/>
          <c:y val="0.0225"/>
        </c:manualLayout>
      </c:layout>
      <c:spPr>
        <a:noFill/>
        <a:ln>
          <a:noFill/>
        </a:ln>
      </c:spPr>
    </c:title>
    <c:plotArea>
      <c:layout>
        <c:manualLayout>
          <c:xMode val="edge"/>
          <c:yMode val="edge"/>
          <c:x val="0.04025"/>
          <c:y val="0.21025"/>
          <c:w val="0.8125"/>
          <c:h val="0.7395"/>
        </c:manualLayout>
      </c:layout>
      <c:barChart>
        <c:barDir val="col"/>
        <c:grouping val="clustered"/>
        <c:varyColors val="0"/>
        <c:ser>
          <c:idx val="0"/>
          <c:order val="0"/>
          <c:tx>
            <c:strRef>
              <c:f>3!$B$4</c:f>
              <c:strCache>
                <c:ptCount val="1"/>
                <c:pt idx="0">
                  <c:v>KADRO</c:v>
                </c:pt>
              </c:strCache>
            </c:strRef>
          </c:tx>
          <c:spPr>
            <a:pattFill prst="wdUpDiag">
              <a:fgClr>
                <a:srgbClr val="FF6600"/>
              </a:fgClr>
              <a:bgClr>
                <a:srgbClr val="000000"/>
              </a:bgClr>
            </a:pattFill>
            <a:ln w="127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3!$B$5:$B$8</c:f>
              <c:numCache>
                <c:ptCount val="4"/>
                <c:pt idx="0">
                  <c:v>0</c:v>
                </c:pt>
                <c:pt idx="1">
                  <c:v>0</c:v>
                </c:pt>
                <c:pt idx="2">
                  <c:v>0</c:v>
                </c:pt>
                <c:pt idx="3">
                  <c:v>0</c:v>
                </c:pt>
              </c:numCache>
            </c:numRef>
          </c:val>
        </c:ser>
        <c:ser>
          <c:idx val="2"/>
          <c:order val="1"/>
          <c:tx>
            <c:strRef>
              <c:f>3!$D$4</c:f>
              <c:strCache>
                <c:ptCount val="1"/>
                <c:pt idx="0">
                  <c:v>ÇALIŞAN</c:v>
                </c:pt>
              </c:strCache>
            </c:strRef>
          </c:tx>
          <c:spPr>
            <a:gradFill rotWithShape="1">
              <a:gsLst>
                <a:gs pos="0">
                  <a:srgbClr val="755E00"/>
                </a:gs>
                <a:gs pos="50000">
                  <a:srgbClr val="FFCC00"/>
                </a:gs>
                <a:gs pos="100000">
                  <a:srgbClr val="755E00"/>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3!$D$5:$D$8</c:f>
              <c:numCache>
                <c:ptCount val="4"/>
                <c:pt idx="0">
                  <c:v>0</c:v>
                </c:pt>
                <c:pt idx="1">
                  <c:v>0</c:v>
                </c:pt>
                <c:pt idx="2">
                  <c:v>0</c:v>
                </c:pt>
                <c:pt idx="3">
                  <c:v>0</c:v>
                </c:pt>
              </c:numCache>
            </c:numRef>
          </c:val>
        </c:ser>
        <c:axId val="32397212"/>
        <c:axId val="23139453"/>
      </c:barChart>
      <c:catAx>
        <c:axId val="32397212"/>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2"/>
              <c:y val="-0.1202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23139453"/>
        <c:crosses val="autoZero"/>
        <c:auto val="1"/>
        <c:lblOffset val="100"/>
        <c:noMultiLvlLbl val="0"/>
      </c:catAx>
      <c:valAx>
        <c:axId val="23139453"/>
        <c:scaling>
          <c:orientation val="minMax"/>
          <c:max val="27500"/>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32397212"/>
        <c:crossesAt val="1"/>
        <c:crossBetween val="between"/>
        <c:dispUnits/>
        <c:majorUnit val="2500"/>
      </c:valAx>
      <c:spPr>
        <a:blipFill>
          <a:blip r:embed="rId1"/>
          <a:srcRect/>
          <a:tile sx="100000" sy="100000" flip="none" algn="tl"/>
        </a:blipFill>
        <a:ln w="3175">
          <a:noFill/>
        </a:ln>
      </c:spPr>
    </c:plotArea>
    <c:legend>
      <c:legendPos val="r"/>
      <c:layout>
        <c:manualLayout>
          <c:xMode val="edge"/>
          <c:yMode val="edge"/>
          <c:x val="0.87375"/>
          <c:y val="0.13075"/>
          <c:w val="0.121"/>
          <c:h val="0.17575"/>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Grafik 2 - MERKEZ TEŞKİLATI KADRO VE ÇALIŞAN PERSONEL DAĞILIMI           
 </a:t>
            </a:r>
            <a:r>
              <a:rPr lang="en-US" cap="none" sz="800" b="1" i="0" u="none" baseline="0"/>
              <a:t>( 31.07.2007 )</a:t>
            </a:r>
          </a:p>
        </c:rich>
      </c:tx>
      <c:layout>
        <c:manualLayout>
          <c:xMode val="factor"/>
          <c:yMode val="factor"/>
          <c:x val="-0.0365"/>
          <c:y val="-0.00475"/>
        </c:manualLayout>
      </c:layout>
      <c:spPr>
        <a:noFill/>
        <a:ln>
          <a:noFill/>
        </a:ln>
      </c:spPr>
    </c:title>
    <c:plotArea>
      <c:layout>
        <c:manualLayout>
          <c:xMode val="edge"/>
          <c:yMode val="edge"/>
          <c:x val="0.01775"/>
          <c:y val="0.2535"/>
          <c:w val="0.877"/>
          <c:h val="0.67725"/>
        </c:manualLayout>
      </c:layout>
      <c:barChart>
        <c:barDir val="col"/>
        <c:grouping val="clustered"/>
        <c:varyColors val="0"/>
        <c:ser>
          <c:idx val="0"/>
          <c:order val="0"/>
          <c:tx>
            <c:strRef>
              <c:f>3!$B$27</c:f>
              <c:strCache>
                <c:ptCount val="1"/>
                <c:pt idx="0">
                  <c:v>KADRO</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3!$B$28:$B$33</c:f>
              <c:numCache>
                <c:ptCount val="6"/>
                <c:pt idx="0">
                  <c:v>0</c:v>
                </c:pt>
                <c:pt idx="1">
                  <c:v>0</c:v>
                </c:pt>
                <c:pt idx="2">
                  <c:v>0</c:v>
                </c:pt>
                <c:pt idx="3">
                  <c:v>0</c:v>
                </c:pt>
                <c:pt idx="4">
                  <c:v>0</c:v>
                </c:pt>
                <c:pt idx="5">
                  <c:v>0</c:v>
                </c:pt>
              </c:numCache>
            </c:numRef>
          </c:val>
        </c:ser>
        <c:ser>
          <c:idx val="2"/>
          <c:order val="1"/>
          <c:tx>
            <c:strRef>
              <c:f>3!$D$27</c:f>
              <c:strCache>
                <c:ptCount val="1"/>
                <c:pt idx="0">
                  <c:v>ÇALIŞAN</c:v>
                </c:pt>
              </c:strCache>
            </c:strRef>
          </c:tx>
          <c:spPr>
            <a:solidFill>
              <a:srgbClr val="FFFF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3!$D$28:$D$33</c:f>
              <c:numCache>
                <c:ptCount val="6"/>
                <c:pt idx="0">
                  <c:v>0</c:v>
                </c:pt>
                <c:pt idx="1">
                  <c:v>0</c:v>
                </c:pt>
                <c:pt idx="2">
                  <c:v>0</c:v>
                </c:pt>
                <c:pt idx="3">
                  <c:v>0</c:v>
                </c:pt>
                <c:pt idx="4">
                  <c:v>0</c:v>
                </c:pt>
                <c:pt idx="5">
                  <c:v>0</c:v>
                </c:pt>
              </c:numCache>
            </c:numRef>
          </c:val>
        </c:ser>
        <c:axId val="6928486"/>
        <c:axId val="62356375"/>
      </c:barChart>
      <c:catAx>
        <c:axId val="6928486"/>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675"/>
              <c:y val="-0.118"/>
            </c:manualLayout>
          </c:layout>
          <c:overlay val="0"/>
          <c:spPr>
            <a:noFill/>
            <a:ln>
              <a:noFill/>
            </a:ln>
          </c:spPr>
        </c:title>
        <c:delete val="0"/>
        <c:numFmt formatCode="General" sourceLinked="1"/>
        <c:majorTickMark val="out"/>
        <c:minorTickMark val="none"/>
        <c:tickLblPos val="nextTo"/>
        <c:txPr>
          <a:bodyPr/>
          <a:lstStyle/>
          <a:p>
            <a:pPr>
              <a:defRPr lang="en-US" cap="none" sz="625" b="1" i="0" u="none" baseline="0"/>
            </a:pPr>
          </a:p>
        </c:txPr>
        <c:crossAx val="62356375"/>
        <c:crosses val="autoZero"/>
        <c:auto val="1"/>
        <c:lblOffset val="100"/>
        <c:noMultiLvlLbl val="0"/>
      </c:catAx>
      <c:valAx>
        <c:axId val="6235637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6928486"/>
        <c:crossesAt val="1"/>
        <c:crossBetween val="between"/>
        <c:dispUnits/>
      </c:valAx>
      <c:spPr>
        <a:blipFill>
          <a:blip r:embed="rId1"/>
          <a:srcRect/>
          <a:tile sx="100000" sy="100000" flip="none" algn="tl"/>
        </a:blipFill>
        <a:ln w="3175">
          <a:noFill/>
        </a:ln>
      </c:spPr>
    </c:plotArea>
    <c:legend>
      <c:legendPos val="r"/>
      <c:layout>
        <c:manualLayout>
          <c:xMode val="edge"/>
          <c:yMode val="edge"/>
          <c:x val="0.8765"/>
          <c:y val="0.09"/>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975" b="0" i="0" u="none" baseline="0">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Grafik 2 - MERKEZ TEŞKİLATI KADRO VE ÇALIŞAN PERSONEL DAĞILIMI </a:t>
            </a:r>
            <a:r>
              <a:rPr lang="en-US" cap="none" sz="225" b="1" i="0" u="none" baseline="0"/>
              <a:t>( 28.02.2006 )</a:t>
            </a:r>
          </a:p>
        </c:rich>
      </c:tx>
      <c:layout/>
      <c:spPr>
        <a:noFill/>
        <a:ln>
          <a:noFill/>
        </a:ln>
      </c:spPr>
    </c:title>
    <c:plotArea>
      <c:layout/>
      <c:barChart>
        <c:barDir val="col"/>
        <c:grouping val="clustered"/>
        <c:varyColors val="0"/>
        <c:ser>
          <c:idx val="0"/>
          <c:order val="0"/>
          <c:tx>
            <c:strRef>
              <c:f>3!$B$27</c:f>
              <c:strCache>
                <c:ptCount val="1"/>
                <c:pt idx="0">
                  <c:v>KADRO</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3!$B$28:$B$33</c:f>
              <c:numCache>
                <c:ptCount val="6"/>
                <c:pt idx="0">
                  <c:v>1514</c:v>
                </c:pt>
                <c:pt idx="1">
                  <c:v>1997</c:v>
                </c:pt>
                <c:pt idx="2">
                  <c:v>1518</c:v>
                </c:pt>
                <c:pt idx="3">
                  <c:v>103</c:v>
                </c:pt>
                <c:pt idx="4">
                  <c:v>51</c:v>
                </c:pt>
                <c:pt idx="5">
                  <c:v>5183</c:v>
                </c:pt>
              </c:numCache>
            </c:numRef>
          </c:val>
        </c:ser>
        <c:ser>
          <c:idx val="2"/>
          <c:order val="1"/>
          <c:tx>
            <c:strRef>
              <c:f>3!$D$27</c:f>
              <c:strCache>
                <c:ptCount val="1"/>
                <c:pt idx="0">
                  <c:v>ÇALIŞAN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3!$D$28:$D$33</c:f>
              <c:numCache>
                <c:ptCount val="6"/>
                <c:pt idx="0">
                  <c:v>402</c:v>
                </c:pt>
                <c:pt idx="1">
                  <c:v>1423</c:v>
                </c:pt>
                <c:pt idx="2">
                  <c:v>504</c:v>
                </c:pt>
                <c:pt idx="3">
                  <c:v>30</c:v>
                </c:pt>
                <c:pt idx="4">
                  <c:v>34</c:v>
                </c:pt>
                <c:pt idx="5">
                  <c:v>2393</c:v>
                </c:pt>
              </c:numCache>
            </c:numRef>
          </c:val>
        </c:ser>
        <c:axId val="24336464"/>
        <c:axId val="17701585"/>
      </c:barChart>
      <c:catAx>
        <c:axId val="24336464"/>
        <c:scaling>
          <c:orientation val="minMax"/>
        </c:scaling>
        <c:axPos val="b"/>
        <c:title>
          <c:tx>
            <c:rich>
              <a:bodyPr vert="horz" rot="0" anchor="ctr"/>
              <a:lstStyle/>
              <a:p>
                <a:pPr algn="ctr">
                  <a:defRPr/>
                </a:pPr>
                <a:r>
                  <a:rPr lang="en-US" cap="none" sz="250" b="1" i="0" u="none" baseline="0"/>
                  <a:t>KİŞİ</a:t>
                </a:r>
              </a:p>
            </c:rich>
          </c:tx>
          <c:layout/>
          <c:overlay val="0"/>
          <c:spPr>
            <a:noFill/>
            <a:ln>
              <a:noFill/>
            </a:ln>
          </c:spPr>
        </c:title>
        <c:delete val="0"/>
        <c:numFmt formatCode="General" sourceLinked="1"/>
        <c:majorTickMark val="out"/>
        <c:minorTickMark val="none"/>
        <c:tickLblPos val="nextTo"/>
        <c:txPr>
          <a:bodyPr/>
          <a:lstStyle/>
          <a:p>
            <a:pPr>
              <a:defRPr lang="en-US" cap="none" sz="275" b="1" i="0" u="none" baseline="0"/>
            </a:pPr>
          </a:p>
        </c:txPr>
        <c:crossAx val="17701585"/>
        <c:crosses val="autoZero"/>
        <c:auto val="1"/>
        <c:lblOffset val="100"/>
        <c:noMultiLvlLbl val="0"/>
      </c:catAx>
      <c:valAx>
        <c:axId val="1770158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0" b="1" i="0" u="none" baseline="0"/>
            </a:pPr>
          </a:p>
        </c:txPr>
        <c:crossAx val="24336464"/>
        <c:crossesAt val="1"/>
        <c:crossBetween val="between"/>
        <c:dispUnits/>
      </c:valAx>
      <c:spPr>
        <a:solidFill>
          <a:srgbClr val="FFFFFF"/>
        </a:solidFill>
        <a:ln w="3175">
          <a:noFill/>
        </a:ln>
      </c:spPr>
    </c:plotArea>
    <c:legend>
      <c:legendPos val="r"/>
      <c:layout/>
      <c:overlay val="0"/>
      <c:txPr>
        <a:bodyPr vert="horz" rot="0"/>
        <a:lstStyle/>
        <a:p>
          <a:pPr>
            <a:defRPr lang="en-US" cap="none" sz="250" b="1" i="0" u="none" baseline="0"/>
          </a:pPr>
        </a:p>
      </c:txPr>
    </c:legend>
    <c:plotVisOnly val="1"/>
    <c:dispBlanksAs val="gap"/>
    <c:showDLblsOverMax val="0"/>
  </c:chart>
  <c:txPr>
    <a:bodyPr vert="horz" rot="0"/>
    <a:lstStyle/>
    <a:p>
      <a:pPr>
        <a:defRPr lang="en-US" cap="none" sz="350" b="0" i="0" u="none" baseline="0">
          <a:latin typeface="Arial Tur"/>
          <a:ea typeface="Arial Tur"/>
          <a:cs typeface="Arial Tu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FF"/>
                </a:solidFill>
              </a:rPr>
              <a:t>Grafik 3 - TAŞRA TEŞKİLATI  PERSONEL DURUMU ( Sigorta Tesisleri )</a:t>
            </a:r>
          </a:p>
        </c:rich>
      </c:tx>
      <c:layout>
        <c:manualLayout>
          <c:xMode val="factor"/>
          <c:yMode val="factor"/>
          <c:x val="0.00175"/>
          <c:y val="0.07225"/>
        </c:manualLayout>
      </c:layout>
      <c:spPr>
        <a:noFill/>
        <a:ln>
          <a:noFill/>
        </a:ln>
      </c:spPr>
    </c:title>
    <c:view3D>
      <c:rotX val="15"/>
      <c:rotY val="20"/>
      <c:depthPercent val="100"/>
      <c:rAngAx val="1"/>
    </c:view3D>
    <c:plotArea>
      <c:layout>
        <c:manualLayout>
          <c:xMode val="edge"/>
          <c:yMode val="edge"/>
          <c:x val="0.02275"/>
          <c:y val="0.259"/>
          <c:w val="0.8135"/>
          <c:h val="0.69525"/>
        </c:manualLayout>
      </c:layout>
      <c:bar3DChart>
        <c:barDir val="col"/>
        <c:grouping val="clustered"/>
        <c:varyColors val="0"/>
        <c:ser>
          <c:idx val="0"/>
          <c:order val="0"/>
          <c:tx>
            <c:strRef>
              <c:f>4!$B$5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4!$B$6:$B$9</c:f>
              <c:numCache>
                <c:ptCount val="4"/>
                <c:pt idx="0">
                  <c:v>0</c:v>
                </c:pt>
                <c:pt idx="1">
                  <c:v>0</c:v>
                </c:pt>
                <c:pt idx="2">
                  <c:v>0</c:v>
                </c:pt>
                <c:pt idx="3">
                  <c:v>0</c:v>
                </c:pt>
              </c:numCache>
            </c:numRef>
          </c:val>
          <c:shape val="cylinder"/>
        </c:ser>
        <c:ser>
          <c:idx val="1"/>
          <c:order val="1"/>
          <c:tx>
            <c:strRef>
              <c:f>4!$C$5</c:f>
              <c:strCache>
                <c:ptCount val="1"/>
                <c:pt idx="0">
                  <c:v>ÇALIŞAN</c:v>
                </c:pt>
              </c:strCache>
            </c:strRef>
          </c:tx>
          <c:spPr>
            <a:pattFill prst="wdUpDiag">
              <a:fgClr>
                <a:srgbClr val="99CC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dUpDiag">
                <a:fgClr>
                  <a:srgbClr val="99CC00"/>
                </a:fgClr>
                <a:bgClr>
                  <a:srgbClr val="000000"/>
                </a:bgClr>
              </a:pattFill>
            </c:spPr>
          </c:dP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4!$C$6:$C$9</c:f>
              <c:numCache>
                <c:ptCount val="4"/>
                <c:pt idx="0">
                  <c:v>0</c:v>
                </c:pt>
                <c:pt idx="1">
                  <c:v>0</c:v>
                </c:pt>
                <c:pt idx="2">
                  <c:v>0</c:v>
                </c:pt>
                <c:pt idx="3">
                  <c:v>0</c:v>
                </c:pt>
              </c:numCache>
            </c:numRef>
          </c:val>
          <c:shape val="cylinder"/>
        </c:ser>
        <c:shape val="cylinder"/>
        <c:axId val="25096538"/>
        <c:axId val="24542251"/>
      </c:bar3DChart>
      <c:catAx>
        <c:axId val="25096538"/>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24542251"/>
        <c:crosses val="autoZero"/>
        <c:auto val="1"/>
        <c:lblOffset val="100"/>
        <c:noMultiLvlLbl val="0"/>
      </c:catAx>
      <c:valAx>
        <c:axId val="24542251"/>
        <c:scaling>
          <c:orientation val="minMax"/>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25096538"/>
        <c:crossesAt val="1"/>
        <c:crossBetween val="between"/>
        <c:dispUnits/>
      </c:valAx>
      <c:spPr>
        <a:noFill/>
        <a:ln>
          <a:noFill/>
        </a:ln>
      </c:spPr>
    </c:plotArea>
    <c:legend>
      <c:legendPos val="r"/>
      <c:layout>
        <c:manualLayout>
          <c:xMode val="edge"/>
          <c:yMode val="edge"/>
          <c:x val="0.878"/>
          <c:y val="0.1737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808080"/>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FF"/>
                </a:solidFill>
              </a:rPr>
              <a:t>Grafik 4 - TAŞRA TEŞKİLATI PERSONEL DURUMU ( Sağlık Tesisleri )</a:t>
            </a:r>
          </a:p>
        </c:rich>
      </c:tx>
      <c:layout>
        <c:manualLayout>
          <c:xMode val="factor"/>
          <c:yMode val="factor"/>
          <c:x val="-0.00175"/>
          <c:y val="0.06875"/>
        </c:manualLayout>
      </c:layout>
      <c:spPr>
        <a:noFill/>
        <a:ln>
          <a:noFill/>
        </a:ln>
      </c:spPr>
    </c:title>
    <c:view3D>
      <c:rotX val="15"/>
      <c:rotY val="20"/>
      <c:depthPercent val="100"/>
      <c:rAngAx val="1"/>
    </c:view3D>
    <c:plotArea>
      <c:layout>
        <c:manualLayout>
          <c:xMode val="edge"/>
          <c:yMode val="edge"/>
          <c:x val="0.02275"/>
          <c:y val="0.26075"/>
          <c:w val="0.81325"/>
          <c:h val="0.693"/>
        </c:manualLayout>
      </c:layout>
      <c:bar3DChart>
        <c:barDir val="col"/>
        <c:grouping val="clustered"/>
        <c:varyColors val="0"/>
        <c:ser>
          <c:idx val="0"/>
          <c:order val="0"/>
          <c:tx>
            <c:strRef>
              <c:f>4!$D$5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2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1" i="0" u="none" baseline="0"/>
                </a:pPr>
              </a:p>
            </c:txPr>
            <c:showLegendKey val="0"/>
            <c:showVal val="1"/>
            <c:showBubbleSize val="0"/>
            <c:showCatName val="0"/>
            <c:showSerName val="0"/>
            <c:showPercent val="0"/>
          </c:dLbls>
          <c:cat>
            <c:strRef>
              <c:f>4!$A$6:$A$9</c:f>
              <c:strCache/>
            </c:strRef>
          </c:cat>
          <c:val>
            <c:numRef>
              <c:f>4!$D$6:$D$9</c:f>
              <c:numCache>
                <c:ptCount val="4"/>
                <c:pt idx="0">
                  <c:v>0</c:v>
                </c:pt>
                <c:pt idx="1">
                  <c:v>0</c:v>
                </c:pt>
                <c:pt idx="2">
                  <c:v>0</c:v>
                </c:pt>
                <c:pt idx="3">
                  <c:v>0</c:v>
                </c:pt>
              </c:numCache>
            </c:numRef>
          </c:val>
          <c:shape val="cylinder"/>
        </c:ser>
        <c:ser>
          <c:idx val="1"/>
          <c:order val="1"/>
          <c:tx>
            <c:strRef>
              <c:f>4!$E$5</c:f>
              <c:strCache>
                <c:ptCount val="1"/>
                <c:pt idx="0">
                  <c:v>ÇALIŞAN</c:v>
                </c:pt>
              </c:strCache>
            </c:strRef>
          </c:tx>
          <c:spPr>
            <a:pattFill prst="weave">
              <a:fgClr>
                <a:srgbClr val="FFFF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eave">
                <a:fgClr>
                  <a:srgbClr val="FFFF00"/>
                </a:fgClr>
                <a:bgClr>
                  <a:srgbClr val="000000"/>
                </a:bgClr>
              </a:pattFill>
            </c:spPr>
          </c:dPt>
          <c:dLbls>
            <c:dLbl>
              <c:idx val="0"/>
              <c:layout>
                <c:manualLayout>
                  <c:x val="0"/>
                  <c:y val="0"/>
                </c:manualLayout>
              </c:layout>
              <c:txPr>
                <a:bodyPr vert="horz" rot="0" anchor="ctr"/>
                <a:lstStyle/>
                <a:p>
                  <a:pPr algn="ctr">
                    <a:defRPr lang="en-US" cap="none" sz="825" b="1"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1"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25" b="1" i="0" u="none" baseline="0"/>
                </a:pPr>
              </a:p>
            </c:txPr>
            <c:showLegendKey val="0"/>
            <c:showVal val="1"/>
            <c:showBubbleSize val="0"/>
            <c:showCatName val="0"/>
            <c:showSerName val="0"/>
            <c:showPercent val="0"/>
          </c:dLbls>
          <c:cat>
            <c:strRef>
              <c:f>4!$A$6:$A$9</c:f>
              <c:strCache/>
            </c:strRef>
          </c:cat>
          <c:val>
            <c:numRef>
              <c:f>4!$E$6:$E$9</c:f>
              <c:numCache>
                <c:ptCount val="4"/>
                <c:pt idx="0">
                  <c:v>0</c:v>
                </c:pt>
                <c:pt idx="1">
                  <c:v>0</c:v>
                </c:pt>
                <c:pt idx="2">
                  <c:v>0</c:v>
                </c:pt>
                <c:pt idx="3">
                  <c:v>0</c:v>
                </c:pt>
              </c:numCache>
            </c:numRef>
          </c:val>
          <c:shape val="cylinder"/>
        </c:ser>
        <c:shape val="cylinder"/>
        <c:axId val="19553668"/>
        <c:axId val="41765285"/>
      </c:bar3DChart>
      <c:catAx>
        <c:axId val="19553668"/>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41765285"/>
        <c:crosses val="autoZero"/>
        <c:auto val="1"/>
        <c:lblOffset val="100"/>
        <c:noMultiLvlLbl val="0"/>
      </c:catAx>
      <c:valAx>
        <c:axId val="41765285"/>
        <c:scaling>
          <c:orientation val="minMax"/>
          <c:max val="5000"/>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19553668"/>
        <c:crossesAt val="1"/>
        <c:crossBetween val="between"/>
        <c:dispUnits/>
        <c:majorUnit val="1000"/>
        <c:minorUnit val="1000"/>
      </c:valAx>
      <c:spPr>
        <a:noFill/>
        <a:ln>
          <a:noFill/>
        </a:ln>
      </c:spPr>
    </c:plotArea>
    <c:legend>
      <c:legendPos val="r"/>
      <c:layout>
        <c:manualLayout>
          <c:xMode val="edge"/>
          <c:yMode val="edge"/>
          <c:x val="0.87775"/>
          <c:y val="0.1892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969696"/>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FF"/>
                </a:solidFill>
              </a:rPr>
              <a:t>Grafik 5 - YILLIK ORT. DOLAR KURU ÜZERİNDEN KURUM AÇIKLARININ YILLAR İTİBARİYLE DEĞİŞİMİ </a:t>
            </a:r>
            <a:r>
              <a:rPr lang="en-US" cap="none" sz="800" b="0" i="1" u="none" baseline="0">
                <a:solidFill>
                  <a:srgbClr val="0000FF"/>
                </a:solidFill>
              </a:rPr>
              <a:t>( Deficit Based On Annual Average Exchange of Dollars )</a:t>
            </a:r>
          </a:p>
        </c:rich>
      </c:tx>
      <c:layout>
        <c:manualLayout>
          <c:xMode val="factor"/>
          <c:yMode val="factor"/>
          <c:x val="-0.0055"/>
          <c:y val="-0.00925"/>
        </c:manualLayout>
      </c:layout>
      <c:spPr>
        <a:noFill/>
        <a:ln>
          <a:noFill/>
        </a:ln>
      </c:spPr>
    </c:title>
    <c:plotArea>
      <c:layout>
        <c:manualLayout>
          <c:xMode val="edge"/>
          <c:yMode val="edge"/>
          <c:x val="0"/>
          <c:y val="0.2635"/>
          <c:w val="0.99425"/>
          <c:h val="0.58425"/>
        </c:manualLayout>
      </c:layout>
      <c:lineChart>
        <c:grouping val="standard"/>
        <c:varyColors val="0"/>
        <c:ser>
          <c:idx val="0"/>
          <c:order val="0"/>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FF"/>
                </a:solidFill>
              </a:ln>
              <a:effectLst>
                <a:outerShdw dist="35921" dir="2700000" algn="br">
                  <a:prstClr val="black"/>
                </a:outerShdw>
              </a:effectLst>
            </c:spPr>
          </c:marker>
          <c:dLbls>
            <c:numFmt formatCode="General" sourceLinked="1"/>
            <c:showLegendKey val="0"/>
            <c:showVal val="0"/>
            <c:showBubbleSize val="0"/>
            <c:showCatName val="0"/>
            <c:showSerName val="0"/>
            <c:showLeaderLines val="1"/>
            <c:showPercent val="0"/>
          </c:dLbls>
          <c:cat>
            <c:strRef>
              <c:f>6!$L$6:$L$24</c:f>
              <c:strCache/>
            </c:strRef>
          </c:cat>
          <c:val>
            <c:numRef>
              <c:f>6!$M$6:$M$24</c:f>
              <c:numCache/>
            </c:numRef>
          </c:val>
          <c:smooth val="1"/>
        </c:ser>
        <c:marker val="1"/>
        <c:axId val="40343246"/>
        <c:axId val="27544895"/>
      </c:lineChart>
      <c:catAx>
        <c:axId val="40343246"/>
        <c:scaling>
          <c:orientation val="minMax"/>
        </c:scaling>
        <c:axPos val="b"/>
        <c:title>
          <c:tx>
            <c:rich>
              <a:bodyPr vert="horz" rot="0" anchor="ctr"/>
              <a:lstStyle/>
              <a:p>
                <a:pPr algn="ctr">
                  <a:defRPr/>
                </a:pPr>
                <a:r>
                  <a:rPr lang="en-US" cap="none" sz="700" b="1" i="0" u="none" baseline="0"/>
                  <a:t>Milyon  Dolar</a:t>
                </a:r>
              </a:p>
            </c:rich>
          </c:tx>
          <c:layout>
            <c:manualLayout>
              <c:xMode val="factor"/>
              <c:yMode val="factor"/>
              <c:x val="0.285"/>
              <c:y val="-0.11525"/>
            </c:manualLayout>
          </c:layout>
          <c:overlay val="0"/>
          <c:spPr>
            <a:noFill/>
            <a:ln>
              <a:noFill/>
            </a:ln>
          </c:spPr>
        </c:title>
        <c:delete val="0"/>
        <c:numFmt formatCode="General" sourceLinked="1"/>
        <c:majorTickMark val="out"/>
        <c:minorTickMark val="none"/>
        <c:tickLblPos val="nextTo"/>
        <c:spPr>
          <a:ln w="25400">
            <a:solidFill/>
          </a:ln>
        </c:spPr>
        <c:txPr>
          <a:bodyPr vert="horz" rot="0"/>
          <a:lstStyle/>
          <a:p>
            <a:pPr>
              <a:defRPr lang="en-US" cap="none" sz="600" b="1" i="0" u="none" baseline="0"/>
            </a:pPr>
          </a:p>
        </c:txPr>
        <c:crossAx val="27544895"/>
        <c:crosses val="autoZero"/>
        <c:auto val="1"/>
        <c:lblOffset val="100"/>
        <c:noMultiLvlLbl val="0"/>
      </c:catAx>
      <c:valAx>
        <c:axId val="27544895"/>
        <c:scaling>
          <c:orientation val="minMax"/>
        </c:scaling>
        <c:axPos val="l"/>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600" b="1" i="0" u="none" baseline="0"/>
            </a:pPr>
          </a:p>
        </c:txPr>
        <c:crossAx val="40343246"/>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6 - SSK, BAĞ-KUR VE EMEKLİ SANDIĞINA YAPILAN BÜTÇE TRANSFERLERİ</a:t>
            </a:r>
          </a:p>
        </c:rich>
      </c:tx>
      <c:layout/>
      <c:spPr>
        <a:noFill/>
        <a:ln>
          <a:noFill/>
        </a:ln>
      </c:spPr>
    </c:title>
    <c:plotArea>
      <c:layout>
        <c:manualLayout>
          <c:xMode val="edge"/>
          <c:yMode val="edge"/>
          <c:x val="0.01675"/>
          <c:y val="0.1705"/>
          <c:w val="0.90175"/>
          <c:h val="0.7455"/>
        </c:manualLayout>
      </c:layout>
      <c:lineChart>
        <c:grouping val="standard"/>
        <c:varyColors val="0"/>
        <c:ser>
          <c:idx val="0"/>
          <c:order val="0"/>
          <c:tx>
            <c:strRef>
              <c:f>7!$B$4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7!$A$5:$A$11</c:f>
              <c:strCache/>
            </c:strRef>
          </c:cat>
          <c:val>
            <c:numRef>
              <c:f>7!$B$5:$B$11</c:f>
              <c:numCache>
                <c:ptCount val="7"/>
                <c:pt idx="0">
                  <c:v>0</c:v>
                </c:pt>
                <c:pt idx="1">
                  <c:v>0</c:v>
                </c:pt>
                <c:pt idx="2">
                  <c:v>0</c:v>
                </c:pt>
                <c:pt idx="3">
                  <c:v>0</c:v>
                </c:pt>
                <c:pt idx="4">
                  <c:v>0</c:v>
                </c:pt>
                <c:pt idx="5">
                  <c:v>0</c:v>
                </c:pt>
                <c:pt idx="6">
                  <c:v>0</c:v>
                </c:pt>
              </c:numCache>
            </c:numRef>
          </c:val>
          <c:smooth val="1"/>
        </c:ser>
        <c:ser>
          <c:idx val="1"/>
          <c:order val="1"/>
          <c:tx>
            <c:strRef>
              <c:f>7!$C$4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7!$A$5:$A$11</c:f>
              <c:strCache/>
            </c:strRef>
          </c:cat>
          <c:val>
            <c:numRef>
              <c:f>7!$C$5:$C$11</c:f>
              <c:numCache>
                <c:ptCount val="7"/>
                <c:pt idx="0">
                  <c:v>0</c:v>
                </c:pt>
                <c:pt idx="1">
                  <c:v>0</c:v>
                </c:pt>
                <c:pt idx="2">
                  <c:v>0</c:v>
                </c:pt>
                <c:pt idx="3">
                  <c:v>0</c:v>
                </c:pt>
                <c:pt idx="4">
                  <c:v>0</c:v>
                </c:pt>
                <c:pt idx="5">
                  <c:v>0</c:v>
                </c:pt>
                <c:pt idx="6">
                  <c:v>0</c:v>
                </c:pt>
              </c:numCache>
            </c:numRef>
          </c:val>
          <c:smooth val="0"/>
        </c:ser>
        <c:ser>
          <c:idx val="2"/>
          <c:order val="2"/>
          <c:tx>
            <c:strRef>
              <c:f>7!$D$4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7!$A$5:$A$11</c:f>
              <c:strCache/>
            </c:strRef>
          </c:cat>
          <c:val>
            <c:numRef>
              <c:f>7!$D$5:$D$11</c:f>
              <c:numCache>
                <c:ptCount val="7"/>
                <c:pt idx="0">
                  <c:v>0</c:v>
                </c:pt>
                <c:pt idx="1">
                  <c:v>0</c:v>
                </c:pt>
                <c:pt idx="2">
                  <c:v>0</c:v>
                </c:pt>
                <c:pt idx="3">
                  <c:v>0</c:v>
                </c:pt>
                <c:pt idx="4">
                  <c:v>0</c:v>
                </c:pt>
                <c:pt idx="5">
                  <c:v>0</c:v>
                </c:pt>
                <c:pt idx="6">
                  <c:v>0</c:v>
                </c:pt>
              </c:numCache>
            </c:numRef>
          </c:val>
          <c:smooth val="1"/>
        </c:ser>
        <c:marker val="1"/>
        <c:axId val="46577464"/>
        <c:axId val="16543993"/>
      </c:lineChart>
      <c:catAx>
        <c:axId val="46577464"/>
        <c:scaling>
          <c:orientation val="minMax"/>
        </c:scaling>
        <c:axPos val="b"/>
        <c:title>
          <c:tx>
            <c:rich>
              <a:bodyPr vert="horz" rot="0" anchor="ctr"/>
              <a:lstStyle/>
              <a:p>
                <a:pPr algn="ctr">
                  <a:defRPr/>
                </a:pPr>
                <a:r>
                  <a:rPr lang="en-US" cap="none" sz="800" b="1" i="0" u="none" baseline="0">
                    <a:latin typeface="Arial Tur"/>
                    <a:ea typeface="Arial Tur"/>
                    <a:cs typeface="Arial Tur"/>
                  </a:rPr>
                  <a:t>Milyar TL</a:t>
                </a:r>
              </a:p>
            </c:rich>
          </c:tx>
          <c:layout>
            <c:manualLayout>
              <c:xMode val="factor"/>
              <c:yMode val="factor"/>
              <c:x val="0.2615"/>
              <c:y val="-0.115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16543993"/>
        <c:crosses val="autoZero"/>
        <c:auto val="1"/>
        <c:lblOffset val="100"/>
        <c:noMultiLvlLbl val="0"/>
      </c:catAx>
      <c:valAx>
        <c:axId val="16543993"/>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50" b="1" i="0" u="none" baseline="0"/>
            </a:pPr>
          </a:p>
        </c:txPr>
        <c:crossAx val="46577464"/>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916"/>
          <c:w val="0.80125"/>
          <c:h val="0.0687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7 - Prim Tahakkuk,Tahsilat ve Tahsilat Oranı</a:t>
            </a:r>
          </a:p>
        </c:rich>
      </c:tx>
      <c:layout/>
      <c:spPr>
        <a:noFill/>
        <a:ln>
          <a:noFill/>
        </a:ln>
      </c:spPr>
    </c:title>
    <c:plotArea>
      <c:layout>
        <c:manualLayout>
          <c:xMode val="edge"/>
          <c:yMode val="edge"/>
          <c:x val="0.0085"/>
          <c:y val="0.1415"/>
          <c:w val="0.9755"/>
          <c:h val="0.759"/>
        </c:manualLayout>
      </c:layout>
      <c:barChart>
        <c:barDir val="col"/>
        <c:grouping val="clustered"/>
        <c:varyColors val="0"/>
        <c:ser>
          <c:idx val="1"/>
          <c:order val="0"/>
          <c:tx>
            <c:strRef>
              <c:f>8!$K$6</c:f>
              <c:strCache>
                <c:ptCount val="1"/>
                <c:pt idx="0">
                  <c:v>TAHAKKUK</c:v>
                </c:pt>
              </c:strCache>
            </c:strRef>
          </c:tx>
          <c:spPr>
            <a:solidFill>
              <a:srgbClr val="33CCCC"/>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8!$J$7:$J$19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8!$K$7:$K$19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8!$L$6</c:f>
              <c:strCache>
                <c:ptCount val="1"/>
                <c:pt idx="0">
                  <c:v>TAHSİLAT</c:v>
                </c:pt>
              </c:strCache>
            </c:strRef>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8!$J$7:$J$19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8!$L$7:$L$19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678210"/>
        <c:axId val="64995027"/>
      </c:barChart>
      <c:lineChart>
        <c:grouping val="standard"/>
        <c:varyColors val="0"/>
        <c:ser>
          <c:idx val="2"/>
          <c:order val="2"/>
          <c:tx>
            <c:strRef>
              <c:f>8!$M$6</c:f>
              <c:strCache>
                <c:ptCount val="1"/>
                <c:pt idx="0">
                  <c:v>TAHSİLAT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8!$J$7:$J$19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8!$M$7:$M$19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48084332"/>
        <c:axId val="30105805"/>
      </c:lineChart>
      <c:catAx>
        <c:axId val="14678210"/>
        <c:scaling>
          <c:orientation val="minMax"/>
        </c:scaling>
        <c:axPos val="b"/>
        <c:title>
          <c:tx>
            <c:rich>
              <a:bodyPr vert="horz" rot="0" anchor="ctr"/>
              <a:lstStyle/>
              <a:p>
                <a:pPr algn="ctr">
                  <a:defRPr/>
                </a:pPr>
                <a:r>
                  <a:rPr lang="en-US" cap="none" sz="1000" b="1" i="0" u="none" baseline="0"/>
                  <a:t>Trilyon TL </a:t>
                </a:r>
              </a:p>
            </c:rich>
          </c:tx>
          <c:layout>
            <c:manualLayout>
              <c:xMode val="factor"/>
              <c:yMode val="factor"/>
              <c:x val="0.26775"/>
              <c:y val="-0.11075"/>
            </c:manualLayout>
          </c:layout>
          <c:overlay val="0"/>
          <c:spPr>
            <a:noFill/>
            <a:ln>
              <a:noFill/>
            </a:ln>
          </c:spPr>
        </c:title>
        <c:delete val="0"/>
        <c:numFmt formatCode="General" sourceLinked="1"/>
        <c:majorTickMark val="in"/>
        <c:minorTickMark val="none"/>
        <c:tickLblPos val="nextTo"/>
        <c:spPr>
          <a:ln w="25400">
            <a:solidFill/>
          </a:ln>
        </c:spPr>
        <c:txPr>
          <a:bodyPr/>
          <a:lstStyle/>
          <a:p>
            <a:pPr>
              <a:defRPr lang="en-US" cap="none" sz="800" b="1" i="0" u="none" baseline="0"/>
            </a:pPr>
          </a:p>
        </c:txPr>
        <c:crossAx val="64995027"/>
        <c:crosses val="autoZero"/>
        <c:auto val="0"/>
        <c:lblOffset val="100"/>
        <c:noMultiLvlLbl val="0"/>
      </c:catAx>
      <c:valAx>
        <c:axId val="64995027"/>
        <c:scaling>
          <c:orientation val="minMax"/>
        </c:scaling>
        <c:axPos val="l"/>
        <c:delete val="0"/>
        <c:numFmt formatCode="#,##0" sourceLinked="0"/>
        <c:majorTickMark val="in"/>
        <c:minorTickMark val="none"/>
        <c:tickLblPos val="nextTo"/>
        <c:spPr>
          <a:ln w="25400">
            <a:solidFill/>
          </a:ln>
        </c:spPr>
        <c:txPr>
          <a:bodyPr/>
          <a:lstStyle/>
          <a:p>
            <a:pPr>
              <a:defRPr lang="en-US" cap="none" sz="800" b="1" i="0" u="none" baseline="0"/>
            </a:pPr>
          </a:p>
        </c:txPr>
        <c:crossAx val="14678210"/>
        <c:crossesAt val="1"/>
        <c:crossBetween val="between"/>
        <c:dispUnits/>
      </c:valAx>
      <c:catAx>
        <c:axId val="48084332"/>
        <c:scaling>
          <c:orientation val="minMax"/>
        </c:scaling>
        <c:axPos val="b"/>
        <c:title>
          <c:tx>
            <c:rich>
              <a:bodyPr vert="horz" rot="0" anchor="ctr"/>
              <a:lstStyle/>
              <a:p>
                <a:pPr algn="ctr">
                  <a:defRPr/>
                </a:pPr>
                <a:r>
                  <a:rPr lang="en-US" cap="none" sz="900" b="1" i="0" u="none" baseline="0"/>
                  <a:t>Tahsilat Oranı ( % )</a:t>
                </a:r>
              </a:p>
            </c:rich>
          </c:tx>
          <c:layout>
            <c:manualLayout>
              <c:xMode val="factor"/>
              <c:yMode val="factor"/>
              <c:x val="0.00625"/>
              <c:y val="0.10125"/>
            </c:manualLayout>
          </c:layout>
          <c:overlay val="0"/>
          <c:spPr>
            <a:noFill/>
            <a:ln>
              <a:noFill/>
            </a:ln>
          </c:spPr>
        </c:title>
        <c:delete val="1"/>
        <c:majorTickMark val="in"/>
        <c:minorTickMark val="none"/>
        <c:tickLblPos val="nextTo"/>
        <c:crossAx val="30105805"/>
        <c:crosses val="autoZero"/>
        <c:auto val="0"/>
        <c:lblOffset val="100"/>
        <c:noMultiLvlLbl val="0"/>
      </c:catAx>
      <c:valAx>
        <c:axId val="30105805"/>
        <c:scaling>
          <c:orientation val="minMax"/>
          <c:min val="0"/>
        </c:scaling>
        <c:axPos val="l"/>
        <c:delete val="0"/>
        <c:numFmt formatCode="General" sourceLinked="1"/>
        <c:majorTickMark val="in"/>
        <c:minorTickMark val="none"/>
        <c:tickLblPos val="nextTo"/>
        <c:txPr>
          <a:bodyPr/>
          <a:lstStyle/>
          <a:p>
            <a:pPr>
              <a:defRPr lang="en-US" cap="none" sz="800" b="1" i="0" u="none" baseline="0"/>
            </a:pPr>
          </a:p>
        </c:txPr>
        <c:crossAx val="48084332"/>
        <c:crosses val="max"/>
        <c:crossBetween val="between"/>
        <c:dispUnits/>
        <c:majorUnit val="10"/>
      </c:valAx>
      <c:spPr>
        <a:blipFill>
          <a:blip r:embed="rId1"/>
          <a:srcRect/>
          <a:tile sx="100000" sy="100000" flip="none" algn="tl"/>
        </a:blipFill>
        <a:ln w="3175">
          <a:noFill/>
        </a:ln>
      </c:spPr>
    </c:plotArea>
    <c:legend>
      <c:legendPos val="b"/>
      <c:layout>
        <c:manualLayout>
          <c:xMode val="edge"/>
          <c:yMode val="edge"/>
          <c:x val="0"/>
          <c:y val="0.949"/>
          <c:w val="0.85225"/>
          <c:h val="0.043"/>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19050</xdr:rowOff>
    </xdr:from>
    <xdr:to>
      <xdr:col>8</xdr:col>
      <xdr:colOff>400050</xdr:colOff>
      <xdr:row>39</xdr:row>
      <xdr:rowOff>19050</xdr:rowOff>
    </xdr:to>
    <xdr:graphicFrame>
      <xdr:nvGraphicFramePr>
        <xdr:cNvPr id="1" name="Chart 2"/>
        <xdr:cNvGraphicFramePr/>
      </xdr:nvGraphicFramePr>
      <xdr:xfrm>
        <a:off x="152400" y="4648200"/>
        <a:ext cx="5734050" cy="2809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5</xdr:col>
      <xdr:colOff>1171575</xdr:colOff>
      <xdr:row>49</xdr:row>
      <xdr:rowOff>66675</xdr:rowOff>
    </xdr:to>
    <xdr:graphicFrame>
      <xdr:nvGraphicFramePr>
        <xdr:cNvPr id="1" name="Chart 1"/>
        <xdr:cNvGraphicFramePr/>
      </xdr:nvGraphicFramePr>
      <xdr:xfrm>
        <a:off x="0" y="6296025"/>
        <a:ext cx="6381750" cy="2581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6</xdr:col>
      <xdr:colOff>0</xdr:colOff>
      <xdr:row>48</xdr:row>
      <xdr:rowOff>152400</xdr:rowOff>
    </xdr:to>
    <xdr:graphicFrame>
      <xdr:nvGraphicFramePr>
        <xdr:cNvPr id="1" name="Chart 1"/>
        <xdr:cNvGraphicFramePr/>
      </xdr:nvGraphicFramePr>
      <xdr:xfrm>
        <a:off x="0" y="6153150"/>
        <a:ext cx="6400800" cy="2438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17</xdr:row>
      <xdr:rowOff>9525</xdr:rowOff>
    </xdr:from>
    <xdr:to>
      <xdr:col>12</xdr:col>
      <xdr:colOff>1304925</xdr:colOff>
      <xdr:row>31</xdr:row>
      <xdr:rowOff>9525</xdr:rowOff>
    </xdr:to>
    <xdr:graphicFrame>
      <xdr:nvGraphicFramePr>
        <xdr:cNvPr id="1" name="Chart 5"/>
        <xdr:cNvGraphicFramePr/>
      </xdr:nvGraphicFramePr>
      <xdr:xfrm>
        <a:off x="2600325" y="4371975"/>
        <a:ext cx="11553825" cy="2486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180975</xdr:rowOff>
    </xdr:from>
    <xdr:to>
      <xdr:col>10</xdr:col>
      <xdr:colOff>666750</xdr:colOff>
      <xdr:row>26</xdr:row>
      <xdr:rowOff>19050</xdr:rowOff>
    </xdr:to>
    <xdr:graphicFrame>
      <xdr:nvGraphicFramePr>
        <xdr:cNvPr id="1" name="Chart 3"/>
        <xdr:cNvGraphicFramePr/>
      </xdr:nvGraphicFramePr>
      <xdr:xfrm>
        <a:off x="0" y="2752725"/>
        <a:ext cx="8343900" cy="2647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0</xdr:rowOff>
    </xdr:from>
    <xdr:to>
      <xdr:col>10</xdr:col>
      <xdr:colOff>657225</xdr:colOff>
      <xdr:row>52</xdr:row>
      <xdr:rowOff>228600</xdr:rowOff>
    </xdr:to>
    <xdr:graphicFrame>
      <xdr:nvGraphicFramePr>
        <xdr:cNvPr id="2" name="Chart 6"/>
        <xdr:cNvGraphicFramePr/>
      </xdr:nvGraphicFramePr>
      <xdr:xfrm>
        <a:off x="19050" y="8343900"/>
        <a:ext cx="8315325" cy="2533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57150</xdr:rowOff>
    </xdr:from>
    <xdr:to>
      <xdr:col>4</xdr:col>
      <xdr:colOff>685800</xdr:colOff>
      <xdr:row>91</xdr:row>
      <xdr:rowOff>95250</xdr:rowOff>
    </xdr:to>
    <xdr:graphicFrame>
      <xdr:nvGraphicFramePr>
        <xdr:cNvPr id="1" name="Chart 3"/>
        <xdr:cNvGraphicFramePr/>
      </xdr:nvGraphicFramePr>
      <xdr:xfrm>
        <a:off x="0" y="7620000"/>
        <a:ext cx="6610350" cy="24669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6</xdr:col>
      <xdr:colOff>838200</xdr:colOff>
      <xdr:row>43</xdr:row>
      <xdr:rowOff>142875</xdr:rowOff>
    </xdr:to>
    <xdr:graphicFrame>
      <xdr:nvGraphicFramePr>
        <xdr:cNvPr id="1" name="Chart 6"/>
        <xdr:cNvGraphicFramePr/>
      </xdr:nvGraphicFramePr>
      <xdr:xfrm>
        <a:off x="28575" y="5905500"/>
        <a:ext cx="6524625" cy="3533775"/>
      </xdr:xfrm>
      <a:graphic>
        <a:graphicData uri="http://schemas.openxmlformats.org/drawingml/2006/chart">
          <c:chart xmlns:c="http://schemas.openxmlformats.org/drawingml/2006/chart" r:id="rId1"/>
        </a:graphicData>
      </a:graphic>
    </xdr:graphicFrame>
    <xdr:clientData/>
  </xdr:twoCellAnchor>
  <xdr:twoCellAnchor>
    <xdr:from>
      <xdr:col>5</xdr:col>
      <xdr:colOff>838200</xdr:colOff>
      <xdr:row>25</xdr:row>
      <xdr:rowOff>38100</xdr:rowOff>
    </xdr:from>
    <xdr:to>
      <xdr:col>6</xdr:col>
      <xdr:colOff>304800</xdr:colOff>
      <xdr:row>26</xdr:row>
      <xdr:rowOff>47625</xdr:rowOff>
    </xdr:to>
    <xdr:sp>
      <xdr:nvSpPr>
        <xdr:cNvPr id="2" name="Rectangle 7"/>
        <xdr:cNvSpPr>
          <a:spLocks/>
        </xdr:cNvSpPr>
      </xdr:nvSpPr>
      <xdr:spPr>
        <a:xfrm>
          <a:off x="5667375" y="6419850"/>
          <a:ext cx="352425" cy="171450"/>
        </a:xfrm>
        <a:prstGeom prst="rect">
          <a:avLst/>
        </a:prstGeom>
        <a:noFill/>
        <a:ln w="9525" cmpd="sng">
          <a:noFill/>
        </a:ln>
      </xdr:spPr>
      <xdr:txBody>
        <a:bodyPr vertOverflow="clip" wrap="square"/>
        <a:p>
          <a:pPr algn="l">
            <a:defRPr/>
          </a:pPr>
          <a:r>
            <a:rPr lang="en-US" cap="none" sz="1000" b="0" i="0" u="none" baseline="0">
              <a:latin typeface="Arial Tur"/>
              <a:ea typeface="Arial Tur"/>
              <a:cs typeface="Arial Tur"/>
            </a:rPr>
            <a:t> </a:t>
          </a:r>
          <a:r>
            <a:rPr lang="en-US" cap="none" sz="1200" b="1" i="0" u="none" baseline="0"/>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5</xdr:col>
      <xdr:colOff>781050</xdr:colOff>
      <xdr:row>47</xdr:row>
      <xdr:rowOff>104775</xdr:rowOff>
    </xdr:to>
    <xdr:graphicFrame>
      <xdr:nvGraphicFramePr>
        <xdr:cNvPr id="1" name="Chart 3"/>
        <xdr:cNvGraphicFramePr/>
      </xdr:nvGraphicFramePr>
      <xdr:xfrm>
        <a:off x="28575" y="3200400"/>
        <a:ext cx="6038850" cy="5267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xdr:row>
      <xdr:rowOff>161925</xdr:rowOff>
    </xdr:from>
    <xdr:to>
      <xdr:col>7</xdr:col>
      <xdr:colOff>533400</xdr:colOff>
      <xdr:row>11</xdr:row>
      <xdr:rowOff>0</xdr:rowOff>
    </xdr:to>
    <xdr:sp>
      <xdr:nvSpPr>
        <xdr:cNvPr id="1" name="Line 1"/>
        <xdr:cNvSpPr>
          <a:spLocks/>
        </xdr:cNvSpPr>
      </xdr:nvSpPr>
      <xdr:spPr>
        <a:xfrm>
          <a:off x="6457950" y="12954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1095375</xdr:colOff>
      <xdr:row>8</xdr:row>
      <xdr:rowOff>76200</xdr:rowOff>
    </xdr:from>
    <xdr:to>
      <xdr:col>7</xdr:col>
      <xdr:colOff>581025</xdr:colOff>
      <xdr:row>8</xdr:row>
      <xdr:rowOff>76200</xdr:rowOff>
    </xdr:to>
    <xdr:sp>
      <xdr:nvSpPr>
        <xdr:cNvPr id="2" name="Line 2"/>
        <xdr:cNvSpPr>
          <a:spLocks/>
        </xdr:cNvSpPr>
      </xdr:nvSpPr>
      <xdr:spPr>
        <a:xfrm flipH="1">
          <a:off x="3600450" y="15621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8</xdr:row>
      <xdr:rowOff>76200</xdr:rowOff>
    </xdr:from>
    <xdr:to>
      <xdr:col>11</xdr:col>
      <xdr:colOff>0</xdr:colOff>
      <xdr:row>8</xdr:row>
      <xdr:rowOff>76200</xdr:rowOff>
    </xdr:to>
    <xdr:sp>
      <xdr:nvSpPr>
        <xdr:cNvPr id="3" name="Line 3"/>
        <xdr:cNvSpPr>
          <a:spLocks/>
        </xdr:cNvSpPr>
      </xdr:nvSpPr>
      <xdr:spPr>
        <a:xfrm>
          <a:off x="6496050" y="15621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10</xdr:row>
      <xdr:rowOff>161925</xdr:rowOff>
    </xdr:from>
    <xdr:to>
      <xdr:col>7</xdr:col>
      <xdr:colOff>590550</xdr:colOff>
      <xdr:row>10</xdr:row>
      <xdr:rowOff>161925</xdr:rowOff>
    </xdr:to>
    <xdr:sp>
      <xdr:nvSpPr>
        <xdr:cNvPr id="4" name="Line 4"/>
        <xdr:cNvSpPr>
          <a:spLocks/>
        </xdr:cNvSpPr>
      </xdr:nvSpPr>
      <xdr:spPr>
        <a:xfrm flipH="1">
          <a:off x="3067050" y="198120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590550</xdr:colOff>
      <xdr:row>10</xdr:row>
      <xdr:rowOff>161925</xdr:rowOff>
    </xdr:from>
    <xdr:to>
      <xdr:col>13</xdr:col>
      <xdr:colOff>676275</xdr:colOff>
      <xdr:row>10</xdr:row>
      <xdr:rowOff>161925</xdr:rowOff>
    </xdr:to>
    <xdr:sp>
      <xdr:nvSpPr>
        <xdr:cNvPr id="5" name="Line 5"/>
        <xdr:cNvSpPr>
          <a:spLocks/>
        </xdr:cNvSpPr>
      </xdr:nvSpPr>
      <xdr:spPr>
        <a:xfrm>
          <a:off x="6515100" y="1981200"/>
          <a:ext cx="440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581025</xdr:colOff>
      <xdr:row>11</xdr:row>
      <xdr:rowOff>0</xdr:rowOff>
    </xdr:from>
    <xdr:to>
      <xdr:col>3</xdr:col>
      <xdr:colOff>581025</xdr:colOff>
      <xdr:row>11</xdr:row>
      <xdr:rowOff>152400</xdr:rowOff>
    </xdr:to>
    <xdr:sp>
      <xdr:nvSpPr>
        <xdr:cNvPr id="6" name="Line 6"/>
        <xdr:cNvSpPr>
          <a:spLocks/>
        </xdr:cNvSpPr>
      </xdr:nvSpPr>
      <xdr:spPr>
        <a:xfrm>
          <a:off x="3086100" y="19907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666750</xdr:colOff>
      <xdr:row>10</xdr:row>
      <xdr:rowOff>142875</xdr:rowOff>
    </xdr:from>
    <xdr:to>
      <xdr:col>13</xdr:col>
      <xdr:colOff>666750</xdr:colOff>
      <xdr:row>11</xdr:row>
      <xdr:rowOff>161925</xdr:rowOff>
    </xdr:to>
    <xdr:sp>
      <xdr:nvSpPr>
        <xdr:cNvPr id="7" name="Line 7"/>
        <xdr:cNvSpPr>
          <a:spLocks/>
        </xdr:cNvSpPr>
      </xdr:nvSpPr>
      <xdr:spPr>
        <a:xfrm>
          <a:off x="10906125" y="1962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14</xdr:row>
      <xdr:rowOff>9525</xdr:rowOff>
    </xdr:from>
    <xdr:to>
      <xdr:col>3</xdr:col>
      <xdr:colOff>523875</xdr:colOff>
      <xdr:row>15</xdr:row>
      <xdr:rowOff>9525</xdr:rowOff>
    </xdr:to>
    <xdr:sp>
      <xdr:nvSpPr>
        <xdr:cNvPr id="8" name="Line 8"/>
        <xdr:cNvSpPr>
          <a:spLocks/>
        </xdr:cNvSpPr>
      </xdr:nvSpPr>
      <xdr:spPr>
        <a:xfrm>
          <a:off x="3028950" y="2505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14</xdr:row>
      <xdr:rowOff>0</xdr:rowOff>
    </xdr:from>
    <xdr:to>
      <xdr:col>13</xdr:col>
      <xdr:colOff>561975</xdr:colOff>
      <xdr:row>14</xdr:row>
      <xdr:rowOff>161925</xdr:rowOff>
    </xdr:to>
    <xdr:sp>
      <xdr:nvSpPr>
        <xdr:cNvPr id="9" name="Line 9"/>
        <xdr:cNvSpPr>
          <a:spLocks/>
        </xdr:cNvSpPr>
      </xdr:nvSpPr>
      <xdr:spPr>
        <a:xfrm>
          <a:off x="10801350" y="2495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15</xdr:row>
      <xdr:rowOff>161925</xdr:rowOff>
    </xdr:from>
    <xdr:to>
      <xdr:col>3</xdr:col>
      <xdr:colOff>523875</xdr:colOff>
      <xdr:row>20</xdr:row>
      <xdr:rowOff>9525</xdr:rowOff>
    </xdr:to>
    <xdr:sp>
      <xdr:nvSpPr>
        <xdr:cNvPr id="10" name="Line 10"/>
        <xdr:cNvSpPr>
          <a:spLocks/>
        </xdr:cNvSpPr>
      </xdr:nvSpPr>
      <xdr:spPr>
        <a:xfrm>
          <a:off x="30289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295275</xdr:colOff>
      <xdr:row>19</xdr:row>
      <xdr:rowOff>9525</xdr:rowOff>
    </xdr:from>
    <xdr:to>
      <xdr:col>3</xdr:col>
      <xdr:colOff>561975</xdr:colOff>
      <xdr:row>19</xdr:row>
      <xdr:rowOff>9525</xdr:rowOff>
    </xdr:to>
    <xdr:sp>
      <xdr:nvSpPr>
        <xdr:cNvPr id="11" name="Line 11"/>
        <xdr:cNvSpPr>
          <a:spLocks/>
        </xdr:cNvSpPr>
      </xdr:nvSpPr>
      <xdr:spPr>
        <a:xfrm flipH="1">
          <a:off x="295275" y="335280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19</xdr:row>
      <xdr:rowOff>9525</xdr:rowOff>
    </xdr:from>
    <xdr:to>
      <xdr:col>0</xdr:col>
      <xdr:colOff>276225</xdr:colOff>
      <xdr:row>19</xdr:row>
      <xdr:rowOff>161925</xdr:rowOff>
    </xdr:to>
    <xdr:sp>
      <xdr:nvSpPr>
        <xdr:cNvPr id="12" name="Line 12"/>
        <xdr:cNvSpPr>
          <a:spLocks/>
        </xdr:cNvSpPr>
      </xdr:nvSpPr>
      <xdr:spPr>
        <a:xfrm>
          <a:off x="276225" y="33528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19</xdr:row>
      <xdr:rowOff>28575</xdr:rowOff>
    </xdr:from>
    <xdr:to>
      <xdr:col>6</xdr:col>
      <xdr:colOff>333375</xdr:colOff>
      <xdr:row>19</xdr:row>
      <xdr:rowOff>152400</xdr:rowOff>
    </xdr:to>
    <xdr:sp>
      <xdr:nvSpPr>
        <xdr:cNvPr id="13" name="Line 13"/>
        <xdr:cNvSpPr>
          <a:spLocks/>
        </xdr:cNvSpPr>
      </xdr:nvSpPr>
      <xdr:spPr>
        <a:xfrm>
          <a:off x="5476875" y="33718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21</xdr:row>
      <xdr:rowOff>161925</xdr:rowOff>
    </xdr:from>
    <xdr:to>
      <xdr:col>0</xdr:col>
      <xdr:colOff>285750</xdr:colOff>
      <xdr:row>41</xdr:row>
      <xdr:rowOff>76200</xdr:rowOff>
    </xdr:to>
    <xdr:sp>
      <xdr:nvSpPr>
        <xdr:cNvPr id="14" name="Line 14"/>
        <xdr:cNvSpPr>
          <a:spLocks/>
        </xdr:cNvSpPr>
      </xdr:nvSpPr>
      <xdr:spPr>
        <a:xfrm>
          <a:off x="276225" y="3838575"/>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247650</xdr:colOff>
      <xdr:row>23</xdr:row>
      <xdr:rowOff>76200</xdr:rowOff>
    </xdr:from>
    <xdr:to>
      <xdr:col>0</xdr:col>
      <xdr:colOff>885825</xdr:colOff>
      <xdr:row>23</xdr:row>
      <xdr:rowOff>76200</xdr:rowOff>
    </xdr:to>
    <xdr:sp>
      <xdr:nvSpPr>
        <xdr:cNvPr id="15" name="Line 15"/>
        <xdr:cNvSpPr>
          <a:spLocks/>
        </xdr:cNvSpPr>
      </xdr:nvSpPr>
      <xdr:spPr>
        <a:xfrm>
          <a:off x="247650" y="4095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26</xdr:row>
      <xdr:rowOff>76200</xdr:rowOff>
    </xdr:from>
    <xdr:to>
      <xdr:col>1</xdr:col>
      <xdr:colOff>0</xdr:colOff>
      <xdr:row>26</xdr:row>
      <xdr:rowOff>76200</xdr:rowOff>
    </xdr:to>
    <xdr:sp>
      <xdr:nvSpPr>
        <xdr:cNvPr id="16" name="Line 16"/>
        <xdr:cNvSpPr>
          <a:spLocks/>
        </xdr:cNvSpPr>
      </xdr:nvSpPr>
      <xdr:spPr>
        <a:xfrm>
          <a:off x="276225" y="4610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28</xdr:row>
      <xdr:rowOff>123825</xdr:rowOff>
    </xdr:from>
    <xdr:to>
      <xdr:col>1</xdr:col>
      <xdr:colOff>0</xdr:colOff>
      <xdr:row>28</xdr:row>
      <xdr:rowOff>123825</xdr:rowOff>
    </xdr:to>
    <xdr:sp>
      <xdr:nvSpPr>
        <xdr:cNvPr id="17" name="Line 17"/>
        <xdr:cNvSpPr>
          <a:spLocks/>
        </xdr:cNvSpPr>
      </xdr:nvSpPr>
      <xdr:spPr>
        <a:xfrm>
          <a:off x="285750" y="5000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22</xdr:row>
      <xdr:rowOff>0</xdr:rowOff>
    </xdr:from>
    <xdr:to>
      <xdr:col>3</xdr:col>
      <xdr:colOff>523875</xdr:colOff>
      <xdr:row>41</xdr:row>
      <xdr:rowOff>0</xdr:rowOff>
    </xdr:to>
    <xdr:sp>
      <xdr:nvSpPr>
        <xdr:cNvPr id="18" name="Line 18"/>
        <xdr:cNvSpPr>
          <a:spLocks/>
        </xdr:cNvSpPr>
      </xdr:nvSpPr>
      <xdr:spPr>
        <a:xfrm>
          <a:off x="3028950" y="3848100"/>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23</xdr:row>
      <xdr:rowOff>76200</xdr:rowOff>
    </xdr:from>
    <xdr:to>
      <xdr:col>4</xdr:col>
      <xdr:colOff>0</xdr:colOff>
      <xdr:row>23</xdr:row>
      <xdr:rowOff>76200</xdr:rowOff>
    </xdr:to>
    <xdr:sp>
      <xdr:nvSpPr>
        <xdr:cNvPr id="19" name="Line 19"/>
        <xdr:cNvSpPr>
          <a:spLocks/>
        </xdr:cNvSpPr>
      </xdr:nvSpPr>
      <xdr:spPr>
        <a:xfrm flipV="1">
          <a:off x="3028950" y="4095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27</xdr:row>
      <xdr:rowOff>0</xdr:rowOff>
    </xdr:from>
    <xdr:to>
      <xdr:col>4</xdr:col>
      <xdr:colOff>0</xdr:colOff>
      <xdr:row>27</xdr:row>
      <xdr:rowOff>0</xdr:rowOff>
    </xdr:to>
    <xdr:sp>
      <xdr:nvSpPr>
        <xdr:cNvPr id="20" name="Line 20"/>
        <xdr:cNvSpPr>
          <a:spLocks/>
        </xdr:cNvSpPr>
      </xdr:nvSpPr>
      <xdr:spPr>
        <a:xfrm flipV="1">
          <a:off x="3028950" y="4705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390525</xdr:colOff>
      <xdr:row>21</xdr:row>
      <xdr:rowOff>161925</xdr:rowOff>
    </xdr:from>
    <xdr:to>
      <xdr:col>6</xdr:col>
      <xdr:colOff>400050</xdr:colOff>
      <xdr:row>41</xdr:row>
      <xdr:rowOff>95250</xdr:rowOff>
    </xdr:to>
    <xdr:sp>
      <xdr:nvSpPr>
        <xdr:cNvPr id="21" name="Line 21"/>
        <xdr:cNvSpPr>
          <a:spLocks/>
        </xdr:cNvSpPr>
      </xdr:nvSpPr>
      <xdr:spPr>
        <a:xfrm flipH="1">
          <a:off x="5534025" y="3838575"/>
          <a:ext cx="9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23</xdr:row>
      <xdr:rowOff>85725</xdr:rowOff>
    </xdr:from>
    <xdr:to>
      <xdr:col>7</xdr:col>
      <xdr:colOff>0</xdr:colOff>
      <xdr:row>23</xdr:row>
      <xdr:rowOff>85725</xdr:rowOff>
    </xdr:to>
    <xdr:sp>
      <xdr:nvSpPr>
        <xdr:cNvPr id="22" name="Line 22"/>
        <xdr:cNvSpPr>
          <a:spLocks/>
        </xdr:cNvSpPr>
      </xdr:nvSpPr>
      <xdr:spPr>
        <a:xfrm flipV="1">
          <a:off x="5524500" y="4105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428625</xdr:colOff>
      <xdr:row>22</xdr:row>
      <xdr:rowOff>0</xdr:rowOff>
    </xdr:from>
    <xdr:to>
      <xdr:col>10</xdr:col>
      <xdr:colOff>428625</xdr:colOff>
      <xdr:row>41</xdr:row>
      <xdr:rowOff>123825</xdr:rowOff>
    </xdr:to>
    <xdr:sp>
      <xdr:nvSpPr>
        <xdr:cNvPr id="23" name="Line 23"/>
        <xdr:cNvSpPr>
          <a:spLocks/>
        </xdr:cNvSpPr>
      </xdr:nvSpPr>
      <xdr:spPr>
        <a:xfrm>
          <a:off x="7781925" y="3848100"/>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24</xdr:row>
      <xdr:rowOff>66675</xdr:rowOff>
    </xdr:from>
    <xdr:to>
      <xdr:col>10</xdr:col>
      <xdr:colOff>800100</xdr:colOff>
      <xdr:row>24</xdr:row>
      <xdr:rowOff>66675</xdr:rowOff>
    </xdr:to>
    <xdr:sp>
      <xdr:nvSpPr>
        <xdr:cNvPr id="24" name="Line 24"/>
        <xdr:cNvSpPr>
          <a:spLocks/>
        </xdr:cNvSpPr>
      </xdr:nvSpPr>
      <xdr:spPr>
        <a:xfrm>
          <a:off x="7791450" y="42576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28</xdr:row>
      <xdr:rowOff>123825</xdr:rowOff>
    </xdr:from>
    <xdr:to>
      <xdr:col>11</xdr:col>
      <xdr:colOff>0</xdr:colOff>
      <xdr:row>28</xdr:row>
      <xdr:rowOff>123825</xdr:rowOff>
    </xdr:to>
    <xdr:sp>
      <xdr:nvSpPr>
        <xdr:cNvPr id="25" name="Line 25"/>
        <xdr:cNvSpPr>
          <a:spLocks/>
        </xdr:cNvSpPr>
      </xdr:nvSpPr>
      <xdr:spPr>
        <a:xfrm>
          <a:off x="7791450" y="500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15</xdr:row>
      <xdr:rowOff>161925</xdr:rowOff>
    </xdr:from>
    <xdr:to>
      <xdr:col>13</xdr:col>
      <xdr:colOff>561975</xdr:colOff>
      <xdr:row>20</xdr:row>
      <xdr:rowOff>9525</xdr:rowOff>
    </xdr:to>
    <xdr:sp>
      <xdr:nvSpPr>
        <xdr:cNvPr id="26" name="Line 26"/>
        <xdr:cNvSpPr>
          <a:spLocks/>
        </xdr:cNvSpPr>
      </xdr:nvSpPr>
      <xdr:spPr>
        <a:xfrm>
          <a:off x="108013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13</xdr:col>
      <xdr:colOff>571500</xdr:colOff>
      <xdr:row>19</xdr:row>
      <xdr:rowOff>0</xdr:rowOff>
    </xdr:to>
    <xdr:sp>
      <xdr:nvSpPr>
        <xdr:cNvPr id="27" name="Line 27"/>
        <xdr:cNvSpPr>
          <a:spLocks/>
        </xdr:cNvSpPr>
      </xdr:nvSpPr>
      <xdr:spPr>
        <a:xfrm flipH="1">
          <a:off x="7810500" y="334327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10</xdr:col>
      <xdr:colOff>457200</xdr:colOff>
      <xdr:row>20</xdr:row>
      <xdr:rowOff>0</xdr:rowOff>
    </xdr:to>
    <xdr:sp>
      <xdr:nvSpPr>
        <xdr:cNvPr id="28" name="Line 28"/>
        <xdr:cNvSpPr>
          <a:spLocks/>
        </xdr:cNvSpPr>
      </xdr:nvSpPr>
      <xdr:spPr>
        <a:xfrm>
          <a:off x="7810500" y="3343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19</xdr:row>
      <xdr:rowOff>0</xdr:rowOff>
    </xdr:from>
    <xdr:to>
      <xdr:col>15</xdr:col>
      <xdr:colOff>342900</xdr:colOff>
      <xdr:row>19</xdr:row>
      <xdr:rowOff>9525</xdr:rowOff>
    </xdr:to>
    <xdr:sp>
      <xdr:nvSpPr>
        <xdr:cNvPr id="29" name="Line 29"/>
        <xdr:cNvSpPr>
          <a:spLocks/>
        </xdr:cNvSpPr>
      </xdr:nvSpPr>
      <xdr:spPr>
        <a:xfrm>
          <a:off x="10801350" y="3343275"/>
          <a:ext cx="1990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361950</xdr:colOff>
      <xdr:row>19</xdr:row>
      <xdr:rowOff>0</xdr:rowOff>
    </xdr:from>
    <xdr:to>
      <xdr:col>15</xdr:col>
      <xdr:colOff>361950</xdr:colOff>
      <xdr:row>20</xdr:row>
      <xdr:rowOff>9525</xdr:rowOff>
    </xdr:to>
    <xdr:sp>
      <xdr:nvSpPr>
        <xdr:cNvPr id="30" name="Line 30"/>
        <xdr:cNvSpPr>
          <a:spLocks/>
        </xdr:cNvSpPr>
      </xdr:nvSpPr>
      <xdr:spPr>
        <a:xfrm>
          <a:off x="12811125" y="33432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571500</xdr:colOff>
      <xdr:row>21</xdr:row>
      <xdr:rowOff>152400</xdr:rowOff>
    </xdr:from>
    <xdr:to>
      <xdr:col>13</xdr:col>
      <xdr:colOff>600075</xdr:colOff>
      <xdr:row>41</xdr:row>
      <xdr:rowOff>0</xdr:rowOff>
    </xdr:to>
    <xdr:sp>
      <xdr:nvSpPr>
        <xdr:cNvPr id="31" name="Line 31"/>
        <xdr:cNvSpPr>
          <a:spLocks/>
        </xdr:cNvSpPr>
      </xdr:nvSpPr>
      <xdr:spPr>
        <a:xfrm>
          <a:off x="10810875" y="3829050"/>
          <a:ext cx="1905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552450</xdr:colOff>
      <xdr:row>23</xdr:row>
      <xdr:rowOff>85725</xdr:rowOff>
    </xdr:from>
    <xdr:to>
      <xdr:col>14</xdr:col>
      <xdr:colOff>0</xdr:colOff>
      <xdr:row>23</xdr:row>
      <xdr:rowOff>85725</xdr:rowOff>
    </xdr:to>
    <xdr:sp>
      <xdr:nvSpPr>
        <xdr:cNvPr id="32" name="Line 32"/>
        <xdr:cNvSpPr>
          <a:spLocks/>
        </xdr:cNvSpPr>
      </xdr:nvSpPr>
      <xdr:spPr>
        <a:xfrm>
          <a:off x="10791825" y="4105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23</xdr:row>
      <xdr:rowOff>66675</xdr:rowOff>
    </xdr:from>
    <xdr:to>
      <xdr:col>15</xdr:col>
      <xdr:colOff>695325</xdr:colOff>
      <xdr:row>23</xdr:row>
      <xdr:rowOff>66675</xdr:rowOff>
    </xdr:to>
    <xdr:sp>
      <xdr:nvSpPr>
        <xdr:cNvPr id="33" name="Line 33"/>
        <xdr:cNvSpPr>
          <a:spLocks/>
        </xdr:cNvSpPr>
      </xdr:nvSpPr>
      <xdr:spPr>
        <a:xfrm>
          <a:off x="12792075" y="4086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333375</xdr:colOff>
      <xdr:row>22</xdr:row>
      <xdr:rowOff>9525</xdr:rowOff>
    </xdr:from>
    <xdr:to>
      <xdr:col>15</xdr:col>
      <xdr:colOff>371475</xdr:colOff>
      <xdr:row>41</xdr:row>
      <xdr:rowOff>123825</xdr:rowOff>
    </xdr:to>
    <xdr:sp>
      <xdr:nvSpPr>
        <xdr:cNvPr id="34" name="Line 34"/>
        <xdr:cNvSpPr>
          <a:spLocks/>
        </xdr:cNvSpPr>
      </xdr:nvSpPr>
      <xdr:spPr>
        <a:xfrm flipH="1">
          <a:off x="12782550" y="3857625"/>
          <a:ext cx="2857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18</xdr:row>
      <xdr:rowOff>9525</xdr:rowOff>
    </xdr:from>
    <xdr:to>
      <xdr:col>14</xdr:col>
      <xdr:colOff>9525</xdr:colOff>
      <xdr:row>18</xdr:row>
      <xdr:rowOff>9525</xdr:rowOff>
    </xdr:to>
    <xdr:sp>
      <xdr:nvSpPr>
        <xdr:cNvPr id="35" name="Line 35"/>
        <xdr:cNvSpPr>
          <a:spLocks/>
        </xdr:cNvSpPr>
      </xdr:nvSpPr>
      <xdr:spPr>
        <a:xfrm>
          <a:off x="10801350" y="3181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26</xdr:row>
      <xdr:rowOff>142875</xdr:rowOff>
    </xdr:from>
    <xdr:to>
      <xdr:col>16</xdr:col>
      <xdr:colOff>0</xdr:colOff>
      <xdr:row>26</xdr:row>
      <xdr:rowOff>142875</xdr:rowOff>
    </xdr:to>
    <xdr:sp>
      <xdr:nvSpPr>
        <xdr:cNvPr id="36" name="Line 36"/>
        <xdr:cNvSpPr>
          <a:spLocks/>
        </xdr:cNvSpPr>
      </xdr:nvSpPr>
      <xdr:spPr>
        <a:xfrm>
          <a:off x="12792075" y="46767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19</xdr:row>
      <xdr:rowOff>9525</xdr:rowOff>
    </xdr:from>
    <xdr:to>
      <xdr:col>6</xdr:col>
      <xdr:colOff>333375</xdr:colOff>
      <xdr:row>19</xdr:row>
      <xdr:rowOff>9525</xdr:rowOff>
    </xdr:to>
    <xdr:sp>
      <xdr:nvSpPr>
        <xdr:cNvPr id="37" name="Line 37"/>
        <xdr:cNvSpPr>
          <a:spLocks/>
        </xdr:cNvSpPr>
      </xdr:nvSpPr>
      <xdr:spPr>
        <a:xfrm>
          <a:off x="3067050" y="335280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2</xdr:row>
      <xdr:rowOff>161925</xdr:rowOff>
    </xdr:from>
    <xdr:to>
      <xdr:col>7</xdr:col>
      <xdr:colOff>571500</xdr:colOff>
      <xdr:row>4</xdr:row>
      <xdr:rowOff>0</xdr:rowOff>
    </xdr:to>
    <xdr:sp>
      <xdr:nvSpPr>
        <xdr:cNvPr id="38" name="Line 38"/>
        <xdr:cNvSpPr>
          <a:spLocks/>
        </xdr:cNvSpPr>
      </xdr:nvSpPr>
      <xdr:spPr>
        <a:xfrm>
          <a:off x="6496050" y="571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542925</xdr:colOff>
      <xdr:row>4</xdr:row>
      <xdr:rowOff>161925</xdr:rowOff>
    </xdr:from>
    <xdr:to>
      <xdr:col>7</xdr:col>
      <xdr:colOff>542925</xdr:colOff>
      <xdr:row>5</xdr:row>
      <xdr:rowOff>161925</xdr:rowOff>
    </xdr:to>
    <xdr:sp>
      <xdr:nvSpPr>
        <xdr:cNvPr id="39" name="Line 39"/>
        <xdr:cNvSpPr>
          <a:spLocks/>
        </xdr:cNvSpPr>
      </xdr:nvSpPr>
      <xdr:spPr>
        <a:xfrm>
          <a:off x="6467475" y="933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9525</xdr:colOff>
      <xdr:row>41</xdr:row>
      <xdr:rowOff>76200</xdr:rowOff>
    </xdr:from>
    <xdr:to>
      <xdr:col>6</xdr:col>
      <xdr:colOff>381000</xdr:colOff>
      <xdr:row>41</xdr:row>
      <xdr:rowOff>85725</xdr:rowOff>
    </xdr:to>
    <xdr:sp>
      <xdr:nvSpPr>
        <xdr:cNvPr id="40" name="Line 40"/>
        <xdr:cNvSpPr>
          <a:spLocks/>
        </xdr:cNvSpPr>
      </xdr:nvSpPr>
      <xdr:spPr>
        <a:xfrm flipH="1">
          <a:off x="3609975" y="7200900"/>
          <a:ext cx="1914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419100</xdr:colOff>
      <xdr:row>41</xdr:row>
      <xdr:rowOff>104775</xdr:rowOff>
    </xdr:from>
    <xdr:to>
      <xdr:col>13</xdr:col>
      <xdr:colOff>0</xdr:colOff>
      <xdr:row>41</xdr:row>
      <xdr:rowOff>104775</xdr:rowOff>
    </xdr:to>
    <xdr:sp>
      <xdr:nvSpPr>
        <xdr:cNvPr id="41" name="Line 41"/>
        <xdr:cNvSpPr>
          <a:spLocks/>
        </xdr:cNvSpPr>
      </xdr:nvSpPr>
      <xdr:spPr>
        <a:xfrm>
          <a:off x="7772400" y="7229475"/>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9525</xdr:colOff>
      <xdr:row>41</xdr:row>
      <xdr:rowOff>114300</xdr:rowOff>
    </xdr:from>
    <xdr:to>
      <xdr:col>15</xdr:col>
      <xdr:colOff>323850</xdr:colOff>
      <xdr:row>41</xdr:row>
      <xdr:rowOff>114300</xdr:rowOff>
    </xdr:to>
    <xdr:sp>
      <xdr:nvSpPr>
        <xdr:cNvPr id="42" name="Line 42"/>
        <xdr:cNvSpPr>
          <a:spLocks/>
        </xdr:cNvSpPr>
      </xdr:nvSpPr>
      <xdr:spPr>
        <a:xfrm flipH="1">
          <a:off x="11334750" y="7239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1285875</xdr:colOff>
      <xdr:row>15</xdr:row>
      <xdr:rowOff>85725</xdr:rowOff>
    </xdr:from>
    <xdr:to>
      <xdr:col>3</xdr:col>
      <xdr:colOff>0</xdr:colOff>
      <xdr:row>15</xdr:row>
      <xdr:rowOff>85725</xdr:rowOff>
    </xdr:to>
    <xdr:sp>
      <xdr:nvSpPr>
        <xdr:cNvPr id="43" name="Line 43"/>
        <xdr:cNvSpPr>
          <a:spLocks/>
        </xdr:cNvSpPr>
      </xdr:nvSpPr>
      <xdr:spPr>
        <a:xfrm flipH="1" flipV="1">
          <a:off x="2190750" y="2752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41</xdr:row>
      <xdr:rowOff>66675</xdr:rowOff>
    </xdr:from>
    <xdr:to>
      <xdr:col>2</xdr:col>
      <xdr:colOff>9525</xdr:colOff>
      <xdr:row>41</xdr:row>
      <xdr:rowOff>76200</xdr:rowOff>
    </xdr:to>
    <xdr:sp>
      <xdr:nvSpPr>
        <xdr:cNvPr id="44" name="Line 44"/>
        <xdr:cNvSpPr>
          <a:spLocks/>
        </xdr:cNvSpPr>
      </xdr:nvSpPr>
      <xdr:spPr>
        <a:xfrm>
          <a:off x="285750" y="7191375"/>
          <a:ext cx="1933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123825</xdr:rowOff>
    </xdr:from>
    <xdr:to>
      <xdr:col>4</xdr:col>
      <xdr:colOff>1047750</xdr:colOff>
      <xdr:row>22</xdr:row>
      <xdr:rowOff>47625</xdr:rowOff>
    </xdr:to>
    <xdr:graphicFrame>
      <xdr:nvGraphicFramePr>
        <xdr:cNvPr id="1" name="Chart 2"/>
        <xdr:cNvGraphicFramePr/>
      </xdr:nvGraphicFramePr>
      <xdr:xfrm>
        <a:off x="9525" y="1905000"/>
        <a:ext cx="6229350" cy="2200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4</xdr:col>
      <xdr:colOff>1095375</xdr:colOff>
      <xdr:row>45</xdr:row>
      <xdr:rowOff>57150</xdr:rowOff>
    </xdr:to>
    <xdr:graphicFrame>
      <xdr:nvGraphicFramePr>
        <xdr:cNvPr id="2" name="Chart 4"/>
        <xdr:cNvGraphicFramePr/>
      </xdr:nvGraphicFramePr>
      <xdr:xfrm>
        <a:off x="0" y="7029450"/>
        <a:ext cx="6286500" cy="1885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0</xdr:colOff>
      <xdr:row>19</xdr:row>
      <xdr:rowOff>0</xdr:rowOff>
    </xdr:to>
    <xdr:graphicFrame>
      <xdr:nvGraphicFramePr>
        <xdr:cNvPr id="1" name="Chart 2"/>
        <xdr:cNvGraphicFramePr/>
      </xdr:nvGraphicFramePr>
      <xdr:xfrm>
        <a:off x="0" y="3952875"/>
        <a:ext cx="6381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4</xdr:col>
      <xdr:colOff>1181100</xdr:colOff>
      <xdr:row>28</xdr:row>
      <xdr:rowOff>76200</xdr:rowOff>
    </xdr:to>
    <xdr:graphicFrame>
      <xdr:nvGraphicFramePr>
        <xdr:cNvPr id="2" name="Chart 3"/>
        <xdr:cNvGraphicFramePr/>
      </xdr:nvGraphicFramePr>
      <xdr:xfrm>
        <a:off x="0" y="2495550"/>
        <a:ext cx="6362700" cy="2990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57150</xdr:rowOff>
    </xdr:from>
    <xdr:to>
      <xdr:col>4</xdr:col>
      <xdr:colOff>1171575</xdr:colOff>
      <xdr:row>47</xdr:row>
      <xdr:rowOff>95250</xdr:rowOff>
    </xdr:to>
    <xdr:graphicFrame>
      <xdr:nvGraphicFramePr>
        <xdr:cNvPr id="3" name="Chart 4"/>
        <xdr:cNvGraphicFramePr/>
      </xdr:nvGraphicFramePr>
      <xdr:xfrm>
        <a:off x="0" y="5629275"/>
        <a:ext cx="6353175" cy="29527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29</xdr:row>
      <xdr:rowOff>47625</xdr:rowOff>
    </xdr:from>
    <xdr:to>
      <xdr:col>10</xdr:col>
      <xdr:colOff>19050</xdr:colOff>
      <xdr:row>42</xdr:row>
      <xdr:rowOff>28575</xdr:rowOff>
    </xdr:to>
    <xdr:graphicFrame>
      <xdr:nvGraphicFramePr>
        <xdr:cNvPr id="1" name="Chart 4"/>
        <xdr:cNvGraphicFramePr/>
      </xdr:nvGraphicFramePr>
      <xdr:xfrm>
        <a:off x="161925" y="5162550"/>
        <a:ext cx="10039350" cy="2047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104775</xdr:rowOff>
    </xdr:from>
    <xdr:to>
      <xdr:col>6</xdr:col>
      <xdr:colOff>781050</xdr:colOff>
      <xdr:row>37</xdr:row>
      <xdr:rowOff>76200</xdr:rowOff>
    </xdr:to>
    <xdr:graphicFrame>
      <xdr:nvGraphicFramePr>
        <xdr:cNvPr id="1" name="Chart 2"/>
        <xdr:cNvGraphicFramePr/>
      </xdr:nvGraphicFramePr>
      <xdr:xfrm>
        <a:off x="0" y="5429250"/>
        <a:ext cx="6610350" cy="3829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619125</xdr:rowOff>
    </xdr:from>
    <xdr:to>
      <xdr:col>7</xdr:col>
      <xdr:colOff>904875</xdr:colOff>
      <xdr:row>43</xdr:row>
      <xdr:rowOff>76200</xdr:rowOff>
    </xdr:to>
    <xdr:graphicFrame>
      <xdr:nvGraphicFramePr>
        <xdr:cNvPr id="1" name="Chart 4"/>
        <xdr:cNvGraphicFramePr/>
      </xdr:nvGraphicFramePr>
      <xdr:xfrm>
        <a:off x="28575" y="6096000"/>
        <a:ext cx="6810375" cy="3638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447675</xdr:rowOff>
    </xdr:from>
    <xdr:to>
      <xdr:col>9</xdr:col>
      <xdr:colOff>1476375</xdr:colOff>
      <xdr:row>34</xdr:row>
      <xdr:rowOff>85725</xdr:rowOff>
    </xdr:to>
    <xdr:graphicFrame>
      <xdr:nvGraphicFramePr>
        <xdr:cNvPr id="1" name="Chart 2"/>
        <xdr:cNvGraphicFramePr/>
      </xdr:nvGraphicFramePr>
      <xdr:xfrm>
        <a:off x="0" y="4457700"/>
        <a:ext cx="11163300" cy="3162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123825</xdr:rowOff>
    </xdr:from>
    <xdr:to>
      <xdr:col>4</xdr:col>
      <xdr:colOff>1181100</xdr:colOff>
      <xdr:row>49</xdr:row>
      <xdr:rowOff>66675</xdr:rowOff>
    </xdr:to>
    <xdr:graphicFrame>
      <xdr:nvGraphicFramePr>
        <xdr:cNvPr id="1" name="Chart 5"/>
        <xdr:cNvGraphicFramePr/>
      </xdr:nvGraphicFramePr>
      <xdr:xfrm>
        <a:off x="0" y="5991225"/>
        <a:ext cx="6096000" cy="2543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04%20,%202005%20ve%202006%20%20slaytlar&#305;\2006%20y&#305;l&#305;%20slaytlar&#305;\2004%20,%202005%20ve%202006%20%20slaytlar&#305;\Ayl&#305;k%20b&#252;lten%20mar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04%20,%202005%20ve%202006%20%20slaytlar&#305;\2006%20y&#305;l&#305;%20slaytlar&#305;\Excel%20&#199;al&#305;&#351;malar&#305;\&#350;UBAT%202006%20&#304;STAT&#304;ST&#304;K&#304;%20B&#220;L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s>
    <sheetDataSet>
      <sheetData sheetId="9">
        <row r="4">
          <cell r="B4" t="str">
            <v>SSK (*)</v>
          </cell>
          <cell r="C4" t="str">
            <v>BAĞ - KUR</v>
          </cell>
          <cell r="D4" t="str">
            <v> EMEKLİ SANDIĞI</v>
          </cell>
        </row>
        <row r="5">
          <cell r="A5">
            <v>1999</v>
          </cell>
          <cell r="B5">
            <v>1111000</v>
          </cell>
          <cell r="C5">
            <v>796145</v>
          </cell>
          <cell r="D5">
            <v>1035000</v>
          </cell>
        </row>
        <row r="6">
          <cell r="A6">
            <v>2000</v>
          </cell>
          <cell r="B6">
            <v>400000</v>
          </cell>
          <cell r="C6">
            <v>1051460</v>
          </cell>
          <cell r="D6">
            <v>1775000</v>
          </cell>
        </row>
        <row r="7">
          <cell r="A7">
            <v>2001</v>
          </cell>
          <cell r="B7">
            <v>1108000</v>
          </cell>
          <cell r="C7">
            <v>1740000</v>
          </cell>
          <cell r="D7">
            <v>2675000</v>
          </cell>
        </row>
        <row r="8">
          <cell r="A8">
            <v>2002</v>
          </cell>
          <cell r="B8">
            <v>2386000</v>
          </cell>
          <cell r="C8">
            <v>2622000</v>
          </cell>
          <cell r="D8">
            <v>4676000</v>
          </cell>
        </row>
        <row r="9">
          <cell r="A9">
            <v>2003</v>
          </cell>
          <cell r="B9">
            <v>4808617</v>
          </cell>
          <cell r="C9">
            <v>4930000</v>
          </cell>
          <cell r="D9">
            <v>6145000</v>
          </cell>
        </row>
        <row r="10">
          <cell r="A10">
            <v>2004</v>
          </cell>
          <cell r="B10">
            <v>5757000</v>
          </cell>
          <cell r="C10">
            <v>5273000</v>
          </cell>
          <cell r="D10">
            <v>7800000</v>
          </cell>
        </row>
        <row r="11">
          <cell r="A11" t="str">
            <v>2005(**)</v>
          </cell>
          <cell r="B11">
            <v>6593000</v>
          </cell>
          <cell r="C11">
            <v>6926000</v>
          </cell>
          <cell r="D11">
            <v>8889300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ORG.ŞEMASI-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s>
    <sheetDataSet>
      <sheetData sheetId="20">
        <row r="12">
          <cell r="H12">
            <v>3594350.1</v>
          </cell>
        </row>
        <row r="13">
          <cell r="H13">
            <v>4981193.7</v>
          </cell>
        </row>
        <row r="14">
          <cell r="H14">
            <v>6635691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showGridLines="0" workbookViewId="0" topLeftCell="A19">
      <selection activeCell="K19" sqref="K19"/>
    </sheetView>
  </sheetViews>
  <sheetFormatPr defaultColWidth="9.00390625" defaultRowHeight="12.75"/>
  <sheetData>
    <row r="1" spans="1:9" ht="23.25" thickTop="1">
      <c r="A1" s="632" t="s">
        <v>74</v>
      </c>
      <c r="B1" s="633"/>
      <c r="C1" s="633"/>
      <c r="D1" s="633"/>
      <c r="E1" s="633"/>
      <c r="F1" s="633"/>
      <c r="G1" s="633"/>
      <c r="H1" s="633"/>
      <c r="I1" s="634"/>
    </row>
    <row r="2" spans="1:9" ht="12.75">
      <c r="A2" s="150"/>
      <c r="I2" s="152"/>
    </row>
    <row r="3" spans="1:9" ht="22.5">
      <c r="A3" s="635" t="s">
        <v>777</v>
      </c>
      <c r="B3" s="636"/>
      <c r="C3" s="636"/>
      <c r="D3" s="636"/>
      <c r="E3" s="636"/>
      <c r="F3" s="636"/>
      <c r="G3" s="636"/>
      <c r="H3" s="636"/>
      <c r="I3" s="637"/>
    </row>
    <row r="4" spans="1:9" ht="20.25">
      <c r="A4" s="638" t="s">
        <v>107</v>
      </c>
      <c r="B4" s="639"/>
      <c r="C4" s="639"/>
      <c r="D4" s="639"/>
      <c r="E4" s="639"/>
      <c r="F4" s="639"/>
      <c r="G4" s="639"/>
      <c r="H4" s="639"/>
      <c r="I4" s="640"/>
    </row>
    <row r="5" spans="1:9" ht="12.75">
      <c r="A5" s="150"/>
      <c r="B5" s="151"/>
      <c r="C5" s="151"/>
      <c r="D5" s="151"/>
      <c r="E5" s="151"/>
      <c r="F5" s="151"/>
      <c r="G5" s="151"/>
      <c r="H5" s="151"/>
      <c r="I5" s="152"/>
    </row>
    <row r="6" spans="1:9" ht="12.75">
      <c r="A6" s="150"/>
      <c r="B6" s="151"/>
      <c r="C6" s="151"/>
      <c r="D6" s="151"/>
      <c r="E6" s="151"/>
      <c r="F6" s="151"/>
      <c r="G6" s="151"/>
      <c r="H6" s="151"/>
      <c r="I6" s="152"/>
    </row>
    <row r="7" spans="1:9" ht="12.75">
      <c r="A7" s="150"/>
      <c r="B7" s="151"/>
      <c r="C7" s="151"/>
      <c r="D7" s="151"/>
      <c r="E7" s="151"/>
      <c r="F7" s="151"/>
      <c r="G7" s="151"/>
      <c r="H7" s="151"/>
      <c r="I7" s="152"/>
    </row>
    <row r="8" spans="1:9" ht="12.75">
      <c r="A8" s="150"/>
      <c r="B8" s="151"/>
      <c r="C8" s="151"/>
      <c r="D8" s="151"/>
      <c r="E8" s="151"/>
      <c r="F8" s="151"/>
      <c r="G8" s="151"/>
      <c r="H8" s="151"/>
      <c r="I8" s="152"/>
    </row>
    <row r="9" spans="1:9" ht="12.75">
      <c r="A9" s="150"/>
      <c r="B9" s="151"/>
      <c r="C9" s="151"/>
      <c r="D9" s="151"/>
      <c r="E9" s="151"/>
      <c r="F9" s="151"/>
      <c r="G9" s="151"/>
      <c r="H9" s="151"/>
      <c r="I9" s="152"/>
    </row>
    <row r="10" spans="1:9" ht="12.75">
      <c r="A10" s="150"/>
      <c r="B10" s="151"/>
      <c r="C10" s="151"/>
      <c r="D10" s="151"/>
      <c r="E10" s="151"/>
      <c r="F10" s="151"/>
      <c r="G10" s="151"/>
      <c r="H10" s="151"/>
      <c r="I10" s="152"/>
    </row>
    <row r="11" spans="1:9" ht="12.75">
      <c r="A11" s="150"/>
      <c r="B11" s="151"/>
      <c r="C11" s="151"/>
      <c r="D11" s="151"/>
      <c r="E11" s="151"/>
      <c r="F11" s="151"/>
      <c r="G11" s="151"/>
      <c r="H11" s="151"/>
      <c r="I11" s="152"/>
    </row>
    <row r="12" spans="1:9" ht="12.75">
      <c r="A12" s="150"/>
      <c r="B12" s="151"/>
      <c r="C12" s="151"/>
      <c r="D12" s="151"/>
      <c r="E12" s="151"/>
      <c r="F12" s="151"/>
      <c r="G12" s="151"/>
      <c r="H12" s="151"/>
      <c r="I12" s="152"/>
    </row>
    <row r="13" spans="1:9" ht="12.75">
      <c r="A13" s="150"/>
      <c r="B13" s="151"/>
      <c r="C13" s="151"/>
      <c r="D13" s="151"/>
      <c r="E13" s="151"/>
      <c r="F13" s="151"/>
      <c r="G13" s="151"/>
      <c r="H13" s="151"/>
      <c r="I13" s="152"/>
    </row>
    <row r="14" spans="1:9" ht="12.75">
      <c r="A14" s="150"/>
      <c r="B14" s="151"/>
      <c r="C14" s="151"/>
      <c r="D14" s="151"/>
      <c r="E14" s="151"/>
      <c r="F14" s="151"/>
      <c r="G14" s="151"/>
      <c r="H14" s="151"/>
      <c r="I14" s="152"/>
    </row>
    <row r="15" spans="1:9" ht="12.75">
      <c r="A15" s="150"/>
      <c r="B15" s="151"/>
      <c r="C15" s="151"/>
      <c r="D15" s="151"/>
      <c r="E15" s="151"/>
      <c r="F15" s="151"/>
      <c r="G15" s="151"/>
      <c r="H15" s="151"/>
      <c r="I15" s="152"/>
    </row>
    <row r="16" spans="1:9" ht="12.75">
      <c r="A16" s="150"/>
      <c r="B16" s="151"/>
      <c r="C16" s="151"/>
      <c r="D16" s="151"/>
      <c r="E16" s="151"/>
      <c r="F16" s="151"/>
      <c r="G16" s="151"/>
      <c r="H16" s="151"/>
      <c r="I16" s="152"/>
    </row>
    <row r="17" spans="1:9" ht="12.75">
      <c r="A17" s="150"/>
      <c r="B17" s="151"/>
      <c r="C17" s="151"/>
      <c r="D17" s="151"/>
      <c r="E17" s="151"/>
      <c r="F17" s="151"/>
      <c r="G17" s="151"/>
      <c r="H17" s="151"/>
      <c r="I17" s="152"/>
    </row>
    <row r="18" spans="1:9" ht="12.75">
      <c r="A18" s="150"/>
      <c r="B18" s="151"/>
      <c r="C18" s="151"/>
      <c r="D18" s="151"/>
      <c r="E18" s="151"/>
      <c r="F18" s="151"/>
      <c r="G18" s="151"/>
      <c r="H18" s="151"/>
      <c r="I18" s="152"/>
    </row>
    <row r="19" spans="1:9" ht="12.75">
      <c r="A19" s="150"/>
      <c r="B19" s="151"/>
      <c r="C19" s="151"/>
      <c r="D19" s="151"/>
      <c r="E19" s="151"/>
      <c r="F19" s="151"/>
      <c r="G19" s="151"/>
      <c r="H19" s="151"/>
      <c r="I19" s="152"/>
    </row>
    <row r="20" spans="1:9" ht="19.5" customHeight="1">
      <c r="A20" s="150"/>
      <c r="B20" s="151"/>
      <c r="C20" s="151"/>
      <c r="D20" s="151"/>
      <c r="E20" s="151"/>
      <c r="F20" s="151"/>
      <c r="G20" s="151"/>
      <c r="H20" s="151"/>
      <c r="I20" s="152"/>
    </row>
    <row r="21" spans="1:9" ht="62.25" customHeight="1">
      <c r="A21" s="623" t="s">
        <v>313</v>
      </c>
      <c r="B21" s="624"/>
      <c r="C21" s="624"/>
      <c r="D21" s="624"/>
      <c r="E21" s="624"/>
      <c r="F21" s="624"/>
      <c r="G21" s="624"/>
      <c r="H21" s="624"/>
      <c r="I21" s="625"/>
    </row>
    <row r="22" spans="1:9" ht="12.75">
      <c r="A22" s="150"/>
      <c r="B22" s="151"/>
      <c r="C22" s="151"/>
      <c r="D22" s="151"/>
      <c r="E22" s="151"/>
      <c r="F22" s="151"/>
      <c r="G22" s="151"/>
      <c r="H22" s="151"/>
      <c r="I22" s="152"/>
    </row>
    <row r="23" spans="1:9" ht="22.5" customHeight="1">
      <c r="A23" s="623"/>
      <c r="B23" s="624"/>
      <c r="C23" s="624"/>
      <c r="D23" s="624"/>
      <c r="E23" s="624"/>
      <c r="F23" s="624"/>
      <c r="G23" s="624"/>
      <c r="H23" s="624"/>
      <c r="I23" s="625"/>
    </row>
    <row r="24" spans="1:9" ht="12.75">
      <c r="A24" s="150"/>
      <c r="B24" s="151"/>
      <c r="C24" s="151"/>
      <c r="D24" s="151"/>
      <c r="E24" s="151"/>
      <c r="F24" s="151"/>
      <c r="G24" s="151"/>
      <c r="H24" s="151"/>
      <c r="I24" s="152"/>
    </row>
    <row r="25" spans="1:9" ht="12.75">
      <c r="A25" s="150"/>
      <c r="B25" s="151"/>
      <c r="C25" s="151"/>
      <c r="D25" s="151"/>
      <c r="E25" s="151"/>
      <c r="F25" s="151"/>
      <c r="G25" s="151"/>
      <c r="H25" s="151"/>
      <c r="I25" s="152"/>
    </row>
    <row r="26" spans="1:9" ht="12.75">
      <c r="A26" s="150"/>
      <c r="B26" s="151"/>
      <c r="C26" s="151"/>
      <c r="D26" s="151"/>
      <c r="E26" s="151"/>
      <c r="F26" s="151"/>
      <c r="G26" s="151"/>
      <c r="H26" s="151"/>
      <c r="I26" s="152"/>
    </row>
    <row r="27" spans="1:9" ht="12.75">
      <c r="A27" s="150"/>
      <c r="B27" s="151"/>
      <c r="C27" s="151"/>
      <c r="D27" s="151"/>
      <c r="E27" s="151"/>
      <c r="F27" s="151"/>
      <c r="G27" s="151"/>
      <c r="H27" s="151"/>
      <c r="I27" s="152"/>
    </row>
    <row r="28" spans="1:9" ht="12.75">
      <c r="A28" s="150"/>
      <c r="B28" s="151"/>
      <c r="C28" s="151"/>
      <c r="D28" s="151"/>
      <c r="E28" s="151"/>
      <c r="F28" s="151"/>
      <c r="G28" s="151"/>
      <c r="H28" s="151"/>
      <c r="I28" s="152"/>
    </row>
    <row r="29" spans="1:9" ht="12.75">
      <c r="A29" s="150"/>
      <c r="B29" s="151"/>
      <c r="C29" s="151"/>
      <c r="D29" s="151"/>
      <c r="E29" s="151"/>
      <c r="F29" s="151"/>
      <c r="G29" s="151"/>
      <c r="H29" s="151"/>
      <c r="I29" s="152"/>
    </row>
    <row r="30" spans="1:9" ht="12.75">
      <c r="A30" s="150"/>
      <c r="B30" s="151"/>
      <c r="C30" s="151"/>
      <c r="D30" s="151"/>
      <c r="E30" s="151"/>
      <c r="F30" s="151"/>
      <c r="G30" s="151"/>
      <c r="H30" s="151"/>
      <c r="I30" s="152"/>
    </row>
    <row r="31" spans="1:9" ht="12.75">
      <c r="A31" s="150"/>
      <c r="B31" s="151"/>
      <c r="C31" s="151"/>
      <c r="D31" s="151"/>
      <c r="E31" s="151"/>
      <c r="F31" s="151"/>
      <c r="G31" s="151"/>
      <c r="H31" s="151"/>
      <c r="I31" s="152"/>
    </row>
    <row r="32" spans="1:9" ht="12.75">
      <c r="A32" s="150"/>
      <c r="B32" s="151"/>
      <c r="C32" s="151"/>
      <c r="D32" s="151"/>
      <c r="E32" s="151"/>
      <c r="F32" s="151"/>
      <c r="G32" s="151"/>
      <c r="H32" s="151"/>
      <c r="I32" s="152"/>
    </row>
    <row r="33" spans="1:9" ht="12.75">
      <c r="A33" s="150"/>
      <c r="B33" s="151"/>
      <c r="C33" s="151"/>
      <c r="D33" s="151"/>
      <c r="E33" s="151"/>
      <c r="F33" s="151"/>
      <c r="G33" s="151"/>
      <c r="H33" s="151"/>
      <c r="I33" s="152"/>
    </row>
    <row r="34" spans="1:9" ht="12.75">
      <c r="A34" s="150"/>
      <c r="B34" s="151"/>
      <c r="C34" s="151"/>
      <c r="D34" s="151"/>
      <c r="E34" s="151"/>
      <c r="F34" s="151"/>
      <c r="G34" s="151"/>
      <c r="H34" s="151"/>
      <c r="I34" s="152"/>
    </row>
    <row r="35" spans="1:9" ht="12.75">
      <c r="A35" s="150"/>
      <c r="B35" s="151"/>
      <c r="C35" s="151"/>
      <c r="D35" s="151"/>
      <c r="E35" s="151"/>
      <c r="F35" s="151"/>
      <c r="G35" s="151"/>
      <c r="H35" s="151"/>
      <c r="I35" s="152"/>
    </row>
    <row r="36" spans="1:9" ht="12.75">
      <c r="A36" s="150"/>
      <c r="B36" s="151"/>
      <c r="C36" s="151"/>
      <c r="D36" s="151"/>
      <c r="E36" s="151"/>
      <c r="F36" s="151"/>
      <c r="G36" s="151"/>
      <c r="H36" s="151"/>
      <c r="I36" s="152"/>
    </row>
    <row r="37" spans="1:9" ht="12.75">
      <c r="A37" s="150"/>
      <c r="B37" s="151"/>
      <c r="C37" s="151"/>
      <c r="D37" s="151"/>
      <c r="E37" s="151"/>
      <c r="F37" s="151"/>
      <c r="G37" s="151"/>
      <c r="H37" s="151"/>
      <c r="I37" s="152"/>
    </row>
    <row r="38" spans="1:9" ht="12.75">
      <c r="A38" s="150"/>
      <c r="B38" s="151"/>
      <c r="C38" s="151"/>
      <c r="D38" s="151"/>
      <c r="E38" s="151"/>
      <c r="F38" s="151"/>
      <c r="G38" s="151"/>
      <c r="H38" s="151"/>
      <c r="I38" s="152"/>
    </row>
    <row r="39" spans="1:9" ht="9" customHeight="1">
      <c r="A39" s="150"/>
      <c r="B39" s="151"/>
      <c r="C39" s="151"/>
      <c r="D39" s="151"/>
      <c r="E39" s="151"/>
      <c r="F39" s="151"/>
      <c r="G39" s="151"/>
      <c r="H39" s="151"/>
      <c r="I39" s="152"/>
    </row>
    <row r="40" spans="1:9" ht="1.5" customHeight="1" hidden="1">
      <c r="A40" s="150"/>
      <c r="B40" s="151"/>
      <c r="C40" s="151"/>
      <c r="D40" s="151"/>
      <c r="E40" s="151"/>
      <c r="F40" s="151"/>
      <c r="G40" s="151"/>
      <c r="H40" s="151"/>
      <c r="I40" s="152"/>
    </row>
    <row r="41" spans="1:9" ht="40.5" customHeight="1">
      <c r="A41" s="626" t="s">
        <v>312</v>
      </c>
      <c r="B41" s="627"/>
      <c r="C41" s="627"/>
      <c r="D41" s="627"/>
      <c r="E41" s="627"/>
      <c r="F41" s="627"/>
      <c r="G41" s="627"/>
      <c r="H41" s="627"/>
      <c r="I41" s="628"/>
    </row>
    <row r="42" spans="1:9" ht="12.75">
      <c r="A42" s="150"/>
      <c r="B42" s="151"/>
      <c r="C42" s="151"/>
      <c r="D42" s="151"/>
      <c r="E42" s="151"/>
      <c r="F42" s="151"/>
      <c r="G42" s="151"/>
      <c r="H42" s="151"/>
      <c r="I42" s="152"/>
    </row>
    <row r="43" spans="1:9" ht="12.75">
      <c r="A43" s="150"/>
      <c r="B43" s="151"/>
      <c r="C43" s="151"/>
      <c r="D43" s="151"/>
      <c r="E43" s="151"/>
      <c r="F43" s="151"/>
      <c r="G43" s="151"/>
      <c r="H43" s="151"/>
      <c r="I43" s="152"/>
    </row>
    <row r="44" spans="1:9" ht="12.75">
      <c r="A44" s="150"/>
      <c r="B44" s="151"/>
      <c r="C44" s="151"/>
      <c r="D44" s="151"/>
      <c r="E44" s="151"/>
      <c r="F44" s="151"/>
      <c r="G44" s="151"/>
      <c r="H44" s="151"/>
      <c r="I44" s="152"/>
    </row>
    <row r="45" spans="1:9" ht="30.75" customHeight="1" thickBot="1">
      <c r="A45" s="629" t="s">
        <v>75</v>
      </c>
      <c r="B45" s="630"/>
      <c r="C45" s="630"/>
      <c r="D45" s="630"/>
      <c r="E45" s="630"/>
      <c r="F45" s="630"/>
      <c r="G45" s="630"/>
      <c r="H45" s="630"/>
      <c r="I45" s="631"/>
    </row>
    <row r="46" ht="13.5" thickTop="1"/>
  </sheetData>
  <mergeCells count="7">
    <mergeCell ref="A23:I23"/>
    <mergeCell ref="A41:I41"/>
    <mergeCell ref="A45:I45"/>
    <mergeCell ref="A1:I1"/>
    <mergeCell ref="A3:I3"/>
    <mergeCell ref="A21:I21"/>
    <mergeCell ref="A4:I4"/>
  </mergeCells>
  <printOptions/>
  <pageMargins left="1.05" right="0.61" top="1" bottom="1" header="0.5" footer="0.5"/>
  <pageSetup horizontalDpi="300" verticalDpi="300" orientation="portrait" paperSize="9" r:id="rId4"/>
  <drawing r:id="rId3"/>
  <legacyDrawing r:id="rId2"/>
  <oleObjects>
    <oleObject progId="PBrush" shapeId="1591588" r:id="rId1"/>
  </oleObjects>
</worksheet>
</file>

<file path=xl/worksheets/sheet10.xml><?xml version="1.0" encoding="utf-8"?>
<worksheet xmlns="http://schemas.openxmlformats.org/spreadsheetml/2006/main" xmlns:r="http://schemas.openxmlformats.org/officeDocument/2006/relationships">
  <sheetPr>
    <tabColor indexed="12"/>
  </sheetPr>
  <dimension ref="A1:N21"/>
  <sheetViews>
    <sheetView showGridLines="0" workbookViewId="0" topLeftCell="A1">
      <selection activeCell="I20" sqref="I20"/>
    </sheetView>
  </sheetViews>
  <sheetFormatPr defaultColWidth="9.00390625" defaultRowHeight="12.75"/>
  <cols>
    <col min="1" max="1" width="11.25390625" style="1" customWidth="1"/>
    <col min="2" max="2" width="11.00390625" style="1" customWidth="1"/>
    <col min="3" max="3" width="11.125" style="1" customWidth="1"/>
    <col min="4" max="4" width="9.875" style="1" customWidth="1"/>
    <col min="5" max="5" width="13.125" style="1" customWidth="1"/>
    <col min="6" max="6" width="8.75390625" style="1" customWidth="1"/>
    <col min="7" max="7" width="12.75390625" style="1" customWidth="1"/>
    <col min="8" max="8" width="12.00390625" style="1" customWidth="1"/>
    <col min="9" max="10" width="9.125" style="1" customWidth="1"/>
    <col min="11" max="11" width="12.375" style="1" customWidth="1"/>
    <col min="12" max="12" width="12.25390625" style="1" customWidth="1"/>
    <col min="13" max="13" width="14.00390625" style="1" customWidth="1"/>
    <col min="14" max="16384" width="9.125" style="1" customWidth="1"/>
  </cols>
  <sheetData>
    <row r="1" spans="1:8" s="3" customFormat="1" ht="20.25" customHeight="1">
      <c r="A1" s="701" t="s">
        <v>152</v>
      </c>
      <c r="B1" s="702"/>
      <c r="C1" s="702"/>
      <c r="D1" s="702"/>
      <c r="E1" s="702"/>
      <c r="F1" s="702"/>
      <c r="G1" s="702"/>
      <c r="H1" s="702"/>
    </row>
    <row r="2" spans="1:8" s="3" customFormat="1" ht="15">
      <c r="A2" s="703" t="s">
        <v>155</v>
      </c>
      <c r="B2" s="704"/>
      <c r="C2" s="704"/>
      <c r="D2" s="704"/>
      <c r="E2" s="704"/>
      <c r="F2" s="704"/>
      <c r="G2" s="704"/>
      <c r="H2" s="704"/>
    </row>
    <row r="3" spans="1:8" s="3" customFormat="1" ht="15">
      <c r="A3" s="12"/>
      <c r="B3" s="14"/>
      <c r="C3" s="14"/>
      <c r="D3" s="14"/>
      <c r="E3" s="14"/>
      <c r="F3" s="14"/>
      <c r="G3" s="14"/>
      <c r="H3" s="14"/>
    </row>
    <row r="4" spans="1:2" s="13" customFormat="1" ht="16.5" thickBot="1">
      <c r="A4" s="15" t="s">
        <v>809</v>
      </c>
      <c r="B4" s="15"/>
    </row>
    <row r="5" spans="1:14" ht="29.25" customHeight="1" thickTop="1">
      <c r="A5" s="361"/>
      <c r="B5" s="710" t="s">
        <v>158</v>
      </c>
      <c r="C5" s="711"/>
      <c r="D5" s="362"/>
      <c r="E5" s="708" t="s">
        <v>161</v>
      </c>
      <c r="F5" s="708" t="s">
        <v>146</v>
      </c>
      <c r="G5" s="712" t="s">
        <v>151</v>
      </c>
      <c r="H5" s="713"/>
      <c r="I5" s="9"/>
      <c r="J5" s="9"/>
      <c r="K5" s="9"/>
      <c r="L5" s="9"/>
      <c r="M5" s="9"/>
      <c r="N5" s="9"/>
    </row>
    <row r="6" spans="1:14" ht="61.5" customHeight="1">
      <c r="A6" s="364" t="s">
        <v>116</v>
      </c>
      <c r="B6" s="365" t="s">
        <v>149</v>
      </c>
      <c r="C6" s="365" t="s">
        <v>150</v>
      </c>
      <c r="D6" s="366" t="s">
        <v>160</v>
      </c>
      <c r="E6" s="709"/>
      <c r="F6" s="709"/>
      <c r="G6" s="367" t="s">
        <v>159</v>
      </c>
      <c r="H6" s="368" t="s">
        <v>148</v>
      </c>
      <c r="I6" s="9"/>
      <c r="J6" s="16"/>
      <c r="K6" s="17" t="s">
        <v>149</v>
      </c>
      <c r="L6" s="17" t="s">
        <v>150</v>
      </c>
      <c r="M6" s="17" t="s">
        <v>160</v>
      </c>
      <c r="N6" s="9"/>
    </row>
    <row r="7" spans="1:14" ht="18" customHeight="1">
      <c r="A7" s="369">
        <v>1993</v>
      </c>
      <c r="B7" s="370">
        <v>57.5</v>
      </c>
      <c r="C7" s="370">
        <v>42.8</v>
      </c>
      <c r="D7" s="371">
        <f>+(C7/B7)*100</f>
        <v>74.43478260869566</v>
      </c>
      <c r="E7" s="370">
        <v>42.4</v>
      </c>
      <c r="F7" s="371"/>
      <c r="G7" s="372" t="s">
        <v>147</v>
      </c>
      <c r="H7" s="373" t="s">
        <v>147</v>
      </c>
      <c r="I7" s="9"/>
      <c r="J7" s="18">
        <v>1993</v>
      </c>
      <c r="K7" s="19">
        <v>57.5</v>
      </c>
      <c r="L7" s="19">
        <v>42.8</v>
      </c>
      <c r="M7" s="20">
        <f>+(L7/K7)*100</f>
        <v>74.43478260869566</v>
      </c>
      <c r="N7" s="9"/>
    </row>
    <row r="8" spans="1:14" ht="18" customHeight="1">
      <c r="A8" s="369">
        <f aca="true" t="shared" si="0" ref="A8:A15">+A7+1</f>
        <v>1994</v>
      </c>
      <c r="B8" s="370">
        <v>84.1</v>
      </c>
      <c r="C8" s="370">
        <v>60.6</v>
      </c>
      <c r="D8" s="371">
        <f aca="true" t="shared" si="1" ref="D8:D16">+(C8/B8)*100</f>
        <v>72.05707491082046</v>
      </c>
      <c r="E8" s="370">
        <v>80.3</v>
      </c>
      <c r="F8" s="374">
        <f>+(E8/E7-1)*100</f>
        <v>89.38679245283019</v>
      </c>
      <c r="G8" s="375">
        <v>14480</v>
      </c>
      <c r="H8" s="376">
        <v>425.6</v>
      </c>
      <c r="I8" s="9"/>
      <c r="J8" s="18">
        <f aca="true" t="shared" si="2" ref="J8:J15">+J7+1</f>
        <v>1994</v>
      </c>
      <c r="K8" s="19">
        <v>84.1</v>
      </c>
      <c r="L8" s="19">
        <v>60.6</v>
      </c>
      <c r="M8" s="20">
        <f aca="true" t="shared" si="3" ref="M8:M16">+(L8/K8)*100</f>
        <v>72.05707491082046</v>
      </c>
      <c r="N8" s="9"/>
    </row>
    <row r="9" spans="1:14" ht="18" customHeight="1">
      <c r="A9" s="369">
        <f t="shared" si="0"/>
        <v>1995</v>
      </c>
      <c r="B9" s="370">
        <v>125.5</v>
      </c>
      <c r="C9" s="370">
        <v>102.1</v>
      </c>
      <c r="D9" s="371">
        <f t="shared" si="1"/>
        <v>81.35458167330677</v>
      </c>
      <c r="E9" s="370">
        <v>156.4</v>
      </c>
      <c r="F9" s="374">
        <f aca="true" t="shared" si="4" ref="F9:F16">+(E9/E8-1)*100</f>
        <v>94.76961394769616</v>
      </c>
      <c r="G9" s="375">
        <v>59200</v>
      </c>
      <c r="H9" s="376">
        <v>1194.1</v>
      </c>
      <c r="I9" s="9"/>
      <c r="J9" s="18">
        <f t="shared" si="2"/>
        <v>1995</v>
      </c>
      <c r="K9" s="19">
        <v>125.5</v>
      </c>
      <c r="L9" s="19">
        <v>102.1</v>
      </c>
      <c r="M9" s="20">
        <f t="shared" si="3"/>
        <v>81.35458167330677</v>
      </c>
      <c r="N9" s="9"/>
    </row>
    <row r="10" spans="1:14" ht="18" customHeight="1">
      <c r="A10" s="369">
        <f t="shared" si="0"/>
        <v>1996</v>
      </c>
      <c r="B10" s="370">
        <v>300.2</v>
      </c>
      <c r="C10" s="370">
        <v>256</v>
      </c>
      <c r="D10" s="371">
        <f t="shared" si="1"/>
        <v>85.27648234510326</v>
      </c>
      <c r="E10" s="370">
        <v>343.6</v>
      </c>
      <c r="F10" s="374">
        <f t="shared" si="4"/>
        <v>119.69309462915602</v>
      </c>
      <c r="G10" s="375">
        <v>69739</v>
      </c>
      <c r="H10" s="376">
        <v>862.6</v>
      </c>
      <c r="I10" s="9"/>
      <c r="J10" s="18">
        <f t="shared" si="2"/>
        <v>1996</v>
      </c>
      <c r="K10" s="19">
        <v>300.2</v>
      </c>
      <c r="L10" s="19">
        <v>256</v>
      </c>
      <c r="M10" s="20">
        <f t="shared" si="3"/>
        <v>85.27648234510326</v>
      </c>
      <c r="N10" s="9"/>
    </row>
    <row r="11" spans="1:14" ht="18" customHeight="1">
      <c r="A11" s="369">
        <f t="shared" si="0"/>
        <v>1997</v>
      </c>
      <c r="B11" s="370">
        <v>715.8</v>
      </c>
      <c r="C11" s="370">
        <v>611.6</v>
      </c>
      <c r="D11" s="371">
        <f t="shared" si="1"/>
        <v>85.44286113439509</v>
      </c>
      <c r="E11" s="370">
        <v>762.3</v>
      </c>
      <c r="F11" s="374">
        <f t="shared" si="4"/>
        <v>121.85681024447028</v>
      </c>
      <c r="G11" s="375">
        <v>336000</v>
      </c>
      <c r="H11" s="376">
        <v>2221.4</v>
      </c>
      <c r="I11" s="9"/>
      <c r="J11" s="18">
        <f t="shared" si="2"/>
        <v>1997</v>
      </c>
      <c r="K11" s="19">
        <v>715.8</v>
      </c>
      <c r="L11" s="19">
        <v>611.6</v>
      </c>
      <c r="M11" s="20">
        <f t="shared" si="3"/>
        <v>85.44286113439509</v>
      </c>
      <c r="N11" s="9"/>
    </row>
    <row r="12" spans="1:14" ht="18" customHeight="1">
      <c r="A12" s="369">
        <f t="shared" si="0"/>
        <v>1998</v>
      </c>
      <c r="B12" s="370">
        <v>1421.4</v>
      </c>
      <c r="C12" s="370">
        <v>1201.4</v>
      </c>
      <c r="D12" s="371">
        <f t="shared" si="1"/>
        <v>84.52230195581821</v>
      </c>
      <c r="E12" s="370">
        <v>1477.6</v>
      </c>
      <c r="F12" s="374">
        <f t="shared" si="4"/>
        <v>93.83444837990294</v>
      </c>
      <c r="G12" s="375">
        <v>447000</v>
      </c>
      <c r="H12" s="376">
        <v>1692.3</v>
      </c>
      <c r="I12" s="9"/>
      <c r="J12" s="18">
        <f t="shared" si="2"/>
        <v>1998</v>
      </c>
      <c r="K12" s="19">
        <v>1421.4</v>
      </c>
      <c r="L12" s="19">
        <v>1201.4</v>
      </c>
      <c r="M12" s="20">
        <f t="shared" si="3"/>
        <v>84.52230195581821</v>
      </c>
      <c r="N12" s="9"/>
    </row>
    <row r="13" spans="1:14" ht="18" customHeight="1">
      <c r="A13" s="369">
        <f t="shared" si="0"/>
        <v>1999</v>
      </c>
      <c r="B13" s="370">
        <v>2514.5</v>
      </c>
      <c r="C13" s="370">
        <v>1989.2</v>
      </c>
      <c r="D13" s="371">
        <f t="shared" si="1"/>
        <v>79.10916683237225</v>
      </c>
      <c r="E13" s="370">
        <v>2555.8</v>
      </c>
      <c r="F13" s="374">
        <f t="shared" si="4"/>
        <v>72.96968056307529</v>
      </c>
      <c r="G13" s="375">
        <v>1111000</v>
      </c>
      <c r="H13" s="376">
        <v>2662.1</v>
      </c>
      <c r="I13" s="9"/>
      <c r="J13" s="18">
        <f t="shared" si="2"/>
        <v>1999</v>
      </c>
      <c r="K13" s="19">
        <v>2514.5</v>
      </c>
      <c r="L13" s="19">
        <v>1989.2</v>
      </c>
      <c r="M13" s="20">
        <f t="shared" si="3"/>
        <v>79.10916683237225</v>
      </c>
      <c r="N13" s="9"/>
    </row>
    <row r="14" spans="1:14" ht="18" customHeight="1">
      <c r="A14" s="369">
        <f t="shared" si="0"/>
        <v>2000</v>
      </c>
      <c r="B14" s="370">
        <v>5002.9</v>
      </c>
      <c r="C14" s="370">
        <v>4221</v>
      </c>
      <c r="D14" s="371">
        <f t="shared" si="1"/>
        <v>84.3710647824262</v>
      </c>
      <c r="E14" s="370">
        <v>3574.6</v>
      </c>
      <c r="F14" s="374">
        <f t="shared" si="4"/>
        <v>39.862274043352365</v>
      </c>
      <c r="G14" s="375">
        <v>400000</v>
      </c>
      <c r="H14" s="376">
        <v>687.5</v>
      </c>
      <c r="I14" s="9"/>
      <c r="J14" s="18">
        <f t="shared" si="2"/>
        <v>2000</v>
      </c>
      <c r="K14" s="19">
        <v>5002.9</v>
      </c>
      <c r="L14" s="19">
        <v>4221</v>
      </c>
      <c r="M14" s="20">
        <f t="shared" si="3"/>
        <v>84.3710647824262</v>
      </c>
      <c r="N14" s="9"/>
    </row>
    <row r="15" spans="1:14" ht="18" customHeight="1">
      <c r="A15" s="369">
        <f t="shared" si="0"/>
        <v>2001</v>
      </c>
      <c r="B15" s="370">
        <v>7328.9</v>
      </c>
      <c r="C15" s="370">
        <v>5985.3</v>
      </c>
      <c r="D15" s="371">
        <f t="shared" si="1"/>
        <v>81.66709874606013</v>
      </c>
      <c r="E15" s="370">
        <v>5708.3</v>
      </c>
      <c r="F15" s="374">
        <f t="shared" si="4"/>
        <v>59.69059475186036</v>
      </c>
      <c r="G15" s="375">
        <v>1108000</v>
      </c>
      <c r="H15" s="376">
        <v>806</v>
      </c>
      <c r="I15" s="9"/>
      <c r="J15" s="18">
        <f t="shared" si="2"/>
        <v>2001</v>
      </c>
      <c r="K15" s="19">
        <v>7328.9</v>
      </c>
      <c r="L15" s="19">
        <v>5985.3</v>
      </c>
      <c r="M15" s="20">
        <f t="shared" si="3"/>
        <v>81.66709874606013</v>
      </c>
      <c r="N15" s="9"/>
    </row>
    <row r="16" spans="1:14" ht="18" customHeight="1">
      <c r="A16" s="369">
        <v>2002</v>
      </c>
      <c r="B16" s="370">
        <v>10869.9</v>
      </c>
      <c r="C16" s="370">
        <v>8941.2</v>
      </c>
      <c r="D16" s="371">
        <f t="shared" si="1"/>
        <v>82.25650649959982</v>
      </c>
      <c r="E16" s="370">
        <v>8953.9</v>
      </c>
      <c r="F16" s="374">
        <f t="shared" si="4"/>
        <v>56.85755829231118</v>
      </c>
      <c r="G16" s="375">
        <v>2386000</v>
      </c>
      <c r="H16" s="376">
        <v>1614</v>
      </c>
      <c r="I16" s="9"/>
      <c r="J16" s="18">
        <v>2002</v>
      </c>
      <c r="K16" s="19">
        <v>10869.9</v>
      </c>
      <c r="L16" s="19">
        <v>8941.2</v>
      </c>
      <c r="M16" s="20">
        <f t="shared" si="3"/>
        <v>82.25650649959982</v>
      </c>
      <c r="N16" s="9"/>
    </row>
    <row r="17" spans="1:14" ht="18" customHeight="1" hidden="1">
      <c r="A17" s="369">
        <v>2002</v>
      </c>
      <c r="B17" s="370">
        <v>10869.9</v>
      </c>
      <c r="C17" s="370">
        <v>8941.2</v>
      </c>
      <c r="D17" s="371">
        <f>+(C17/B17)*100</f>
        <v>82.25650649959982</v>
      </c>
      <c r="E17" s="370">
        <v>8954.9</v>
      </c>
      <c r="F17" s="374">
        <f>+(E17/E16-1)*100</f>
        <v>0.011168317716303555</v>
      </c>
      <c r="G17" s="375">
        <v>2386000</v>
      </c>
      <c r="H17" s="376">
        <v>1614</v>
      </c>
      <c r="I17" s="9"/>
      <c r="J17" s="18">
        <v>2002</v>
      </c>
      <c r="K17" s="19">
        <v>10869.9</v>
      </c>
      <c r="L17" s="19">
        <v>8941.2</v>
      </c>
      <c r="M17" s="20">
        <f>+(L17/K17)*100</f>
        <v>82.25650649959982</v>
      </c>
      <c r="N17" s="9"/>
    </row>
    <row r="18" spans="1:14" ht="18" customHeight="1">
      <c r="A18" s="369">
        <v>2003</v>
      </c>
      <c r="B18" s="370">
        <v>15536.8</v>
      </c>
      <c r="C18" s="370">
        <v>12745</v>
      </c>
      <c r="D18" s="371">
        <f>+(C18/B18)*100</f>
        <v>82.03104886463107</v>
      </c>
      <c r="E18" s="370">
        <v>11960.5</v>
      </c>
      <c r="F18" s="374">
        <f>+(E18/E17-1)*100</f>
        <v>33.563747222191196</v>
      </c>
      <c r="G18" s="375">
        <v>3157883.5</v>
      </c>
      <c r="H18" s="376">
        <v>1924.7</v>
      </c>
      <c r="I18" s="9"/>
      <c r="J18" s="18">
        <v>2003</v>
      </c>
      <c r="K18" s="19">
        <v>15536.8</v>
      </c>
      <c r="L18" s="19">
        <v>12745</v>
      </c>
      <c r="M18" s="20">
        <f>+(L18/K18)*100</f>
        <v>82.03104886463107</v>
      </c>
      <c r="N18" s="9"/>
    </row>
    <row r="19" spans="1:14" ht="18" customHeight="1" thickBot="1">
      <c r="A19" s="377">
        <v>2004</v>
      </c>
      <c r="B19" s="378">
        <v>21088.1</v>
      </c>
      <c r="C19" s="378">
        <v>16967.5</v>
      </c>
      <c r="D19" s="379">
        <f>+(C19/B19)*100</f>
        <v>80.46006989724063</v>
      </c>
      <c r="E19" s="378">
        <v>16555.7</v>
      </c>
      <c r="F19" s="380">
        <f>+(E19/E18-1)*100</f>
        <v>38.419798503407044</v>
      </c>
      <c r="G19" s="381">
        <v>5164847.4</v>
      </c>
      <c r="H19" s="382">
        <v>4053.2</v>
      </c>
      <c r="I19" s="9"/>
      <c r="J19" s="18">
        <v>2004</v>
      </c>
      <c r="K19" s="19">
        <v>21088.1</v>
      </c>
      <c r="L19" s="19">
        <v>16967.5</v>
      </c>
      <c r="M19" s="20">
        <f>+(L19/K19)*100</f>
        <v>80.46006989724063</v>
      </c>
      <c r="N19" s="9"/>
    </row>
    <row r="20" spans="1:8" ht="57.75" customHeight="1" thickTop="1">
      <c r="A20" s="705" t="s">
        <v>157</v>
      </c>
      <c r="B20" s="705"/>
      <c r="C20" s="705"/>
      <c r="D20" s="705"/>
      <c r="E20" s="705"/>
      <c r="F20" s="705"/>
      <c r="G20" s="705"/>
      <c r="H20" s="705"/>
    </row>
    <row r="21" spans="1:8" ht="48.75" customHeight="1">
      <c r="A21" s="706" t="s">
        <v>469</v>
      </c>
      <c r="B21" s="707"/>
      <c r="C21" s="707"/>
      <c r="D21" s="707"/>
      <c r="E21" s="707"/>
      <c r="F21" s="707"/>
      <c r="G21" s="707"/>
      <c r="H21" s="707"/>
    </row>
  </sheetData>
  <mergeCells count="8">
    <mergeCell ref="A1:H1"/>
    <mergeCell ref="A2:H2"/>
    <mergeCell ref="A20:H20"/>
    <mergeCell ref="A21:H21"/>
    <mergeCell ref="F5:F6"/>
    <mergeCell ref="E5:E6"/>
    <mergeCell ref="B5:C5"/>
    <mergeCell ref="G5:H5"/>
  </mergeCells>
  <printOptions/>
  <pageMargins left="0.5905511811023623" right="0.7480314960629921" top="0" bottom="0" header="0" footer="0"/>
  <pageSetup horizontalDpi="300" verticalDpi="3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tabColor indexed="12"/>
  </sheetPr>
  <dimension ref="A1:J21"/>
  <sheetViews>
    <sheetView showGridLines="0" workbookViewId="0" topLeftCell="F10">
      <selection activeCell="A2" sqref="A2:J2"/>
    </sheetView>
  </sheetViews>
  <sheetFormatPr defaultColWidth="9.00390625" defaultRowHeight="12.75"/>
  <cols>
    <col min="1" max="1" width="11.00390625" style="13" customWidth="1"/>
    <col min="2" max="2" width="11.375" style="13" customWidth="1"/>
    <col min="3" max="3" width="11.875" style="13" customWidth="1"/>
    <col min="4" max="4" width="20.75390625" style="13" customWidth="1"/>
    <col min="5" max="5" width="11.375" style="13" customWidth="1"/>
    <col min="6" max="6" width="12.00390625" style="13" customWidth="1"/>
    <col min="7" max="7" width="20.125" style="13" customWidth="1"/>
    <col min="8" max="8" width="13.875" style="13" customWidth="1"/>
    <col min="9" max="9" width="14.75390625" style="13" customWidth="1"/>
    <col min="10" max="10" width="19.625" style="13" customWidth="1"/>
    <col min="11" max="16384" width="9.125" style="13" customWidth="1"/>
  </cols>
  <sheetData>
    <row r="1" spans="1:10" ht="18.75" customHeight="1">
      <c r="A1" s="660" t="s">
        <v>453</v>
      </c>
      <c r="B1" s="715"/>
      <c r="C1" s="715"/>
      <c r="D1" s="715"/>
      <c r="E1" s="715"/>
      <c r="F1" s="715"/>
      <c r="G1" s="715"/>
      <c r="H1" s="716"/>
      <c r="I1" s="716"/>
      <c r="J1" s="716"/>
    </row>
    <row r="2" spans="1:10" ht="18.75" customHeight="1" thickBot="1">
      <c r="A2" s="714" t="s">
        <v>810</v>
      </c>
      <c r="B2" s="714"/>
      <c r="C2" s="714"/>
      <c r="D2" s="714"/>
      <c r="E2" s="714"/>
      <c r="F2" s="714"/>
      <c r="G2" s="714"/>
      <c r="H2" s="714"/>
      <c r="I2" s="714"/>
      <c r="J2" s="714"/>
    </row>
    <row r="3" spans="1:10" ht="22.5" customHeight="1" thickTop="1">
      <c r="A3" s="721" t="s">
        <v>139</v>
      </c>
      <c r="B3" s="719" t="s">
        <v>162</v>
      </c>
      <c r="C3" s="720"/>
      <c r="D3" s="720"/>
      <c r="E3" s="719" t="s">
        <v>163</v>
      </c>
      <c r="F3" s="720"/>
      <c r="G3" s="723"/>
      <c r="H3" s="719" t="s">
        <v>795</v>
      </c>
      <c r="I3" s="720"/>
      <c r="J3" s="728"/>
    </row>
    <row r="4" spans="1:10" s="3" customFormat="1" ht="60" customHeight="1">
      <c r="A4" s="722"/>
      <c r="B4" s="367" t="s">
        <v>140</v>
      </c>
      <c r="C4" s="367" t="s">
        <v>141</v>
      </c>
      <c r="D4" s="367" t="s">
        <v>798</v>
      </c>
      <c r="E4" s="367" t="s">
        <v>140</v>
      </c>
      <c r="F4" s="367" t="s">
        <v>141</v>
      </c>
      <c r="G4" s="383" t="s">
        <v>799</v>
      </c>
      <c r="H4" s="367" t="s">
        <v>140</v>
      </c>
      <c r="I4" s="367" t="s">
        <v>141</v>
      </c>
      <c r="J4" s="384" t="s">
        <v>164</v>
      </c>
    </row>
    <row r="5" spans="1:10" s="3" customFormat="1" ht="15">
      <c r="A5" s="385" t="s">
        <v>127</v>
      </c>
      <c r="B5" s="386">
        <v>1508000</v>
      </c>
      <c r="C5" s="386">
        <f>1717731+16924</f>
        <v>1734655</v>
      </c>
      <c r="D5" s="387">
        <f aca="true" t="shared" si="0" ref="D5:D16">+(B5/C5)*100</f>
        <v>86.93371304380409</v>
      </c>
      <c r="E5" s="386">
        <v>1928000</v>
      </c>
      <c r="F5" s="386">
        <f>1927208+18240</f>
        <v>1945448</v>
      </c>
      <c r="G5" s="388">
        <f aca="true" t="shared" si="1" ref="G5:G16">+(E5/F5)*100</f>
        <v>99.10313716943347</v>
      </c>
      <c r="H5" s="386">
        <v>2186000</v>
      </c>
      <c r="I5" s="386">
        <f>2461397+102603+18696</f>
        <v>2582696</v>
      </c>
      <c r="J5" s="389">
        <f aca="true" t="shared" si="2" ref="J5:J11">+(H5/I5)*100</f>
        <v>84.64023640412964</v>
      </c>
    </row>
    <row r="6" spans="1:10" s="3" customFormat="1" ht="15">
      <c r="A6" s="385" t="s">
        <v>128</v>
      </c>
      <c r="B6" s="386">
        <v>1554100</v>
      </c>
      <c r="C6" s="386">
        <f>1703337+16983</f>
        <v>1720320</v>
      </c>
      <c r="D6" s="387">
        <f t="shared" si="0"/>
        <v>90.33784412202381</v>
      </c>
      <c r="E6" s="386">
        <v>1740000</v>
      </c>
      <c r="F6" s="386">
        <f>1990535+160980+17745</f>
        <v>2169260</v>
      </c>
      <c r="G6" s="388">
        <f t="shared" si="1"/>
        <v>80.21168509076828</v>
      </c>
      <c r="H6" s="386">
        <v>2226000</v>
      </c>
      <c r="I6" s="386">
        <f>2303264+95632+18769</f>
        <v>2417665</v>
      </c>
      <c r="J6" s="389">
        <f t="shared" si="2"/>
        <v>92.0723094390662</v>
      </c>
    </row>
    <row r="7" spans="1:10" s="3" customFormat="1" ht="15">
      <c r="A7" s="385" t="s">
        <v>129</v>
      </c>
      <c r="B7" s="386">
        <v>1685000</v>
      </c>
      <c r="C7" s="386">
        <f>1728320+17054</f>
        <v>1745374</v>
      </c>
      <c r="D7" s="387">
        <f t="shared" si="0"/>
        <v>96.54091329422806</v>
      </c>
      <c r="E7" s="386">
        <v>1948000</v>
      </c>
      <c r="F7" s="386">
        <f>2024957+82736+17883</f>
        <v>2125576</v>
      </c>
      <c r="G7" s="388">
        <f t="shared" si="1"/>
        <v>91.6457468469723</v>
      </c>
      <c r="H7" s="386">
        <v>2298000</v>
      </c>
      <c r="I7" s="386">
        <f>2332322+96410+18867</f>
        <v>2447599</v>
      </c>
      <c r="J7" s="389">
        <f t="shared" si="2"/>
        <v>93.8879285373135</v>
      </c>
    </row>
    <row r="8" spans="1:10" s="3" customFormat="1" ht="15">
      <c r="A8" s="385" t="s">
        <v>142</v>
      </c>
      <c r="B8" s="386">
        <v>1503278</v>
      </c>
      <c r="C8" s="386">
        <f>1720957+17136</f>
        <v>1738093</v>
      </c>
      <c r="D8" s="387">
        <f t="shared" si="0"/>
        <v>86.49007849407367</v>
      </c>
      <c r="E8" s="386">
        <v>1808000</v>
      </c>
      <c r="F8" s="386">
        <f>2023632+83182+17975</f>
        <v>2124789</v>
      </c>
      <c r="G8" s="388">
        <f t="shared" si="1"/>
        <v>85.0908019572767</v>
      </c>
      <c r="H8" s="386">
        <v>2197000</v>
      </c>
      <c r="I8" s="386">
        <f>2348799+97374+18987</f>
        <v>2465160</v>
      </c>
      <c r="J8" s="389">
        <f t="shared" si="2"/>
        <v>89.12200425124536</v>
      </c>
    </row>
    <row r="9" spans="1:10" s="3" customFormat="1" ht="15">
      <c r="A9" s="385" t="s">
        <v>131</v>
      </c>
      <c r="B9" s="386">
        <v>1660000</v>
      </c>
      <c r="C9" s="386">
        <f>1772742+17212</f>
        <v>1789954</v>
      </c>
      <c r="D9" s="387">
        <f t="shared" si="0"/>
        <v>92.73981342537294</v>
      </c>
      <c r="E9" s="386">
        <v>2159000</v>
      </c>
      <c r="F9" s="386">
        <f>2019064+83354+18525</f>
        <v>2120943</v>
      </c>
      <c r="G9" s="388">
        <f t="shared" si="1"/>
        <v>101.79434336519179</v>
      </c>
      <c r="H9" s="386">
        <v>2540000</v>
      </c>
      <c r="I9" s="386">
        <f>2351430+97512+19075</f>
        <v>2468017</v>
      </c>
      <c r="J9" s="389">
        <f t="shared" si="2"/>
        <v>102.91663307019361</v>
      </c>
    </row>
    <row r="10" spans="1:10" s="3" customFormat="1" ht="15">
      <c r="A10" s="385" t="s">
        <v>132</v>
      </c>
      <c r="B10" s="386">
        <v>1657000</v>
      </c>
      <c r="C10" s="386">
        <f>1752780+17266</f>
        <v>1770046</v>
      </c>
      <c r="D10" s="387">
        <f t="shared" si="0"/>
        <v>93.61338631877364</v>
      </c>
      <c r="E10" s="386">
        <v>2157675</v>
      </c>
      <c r="F10" s="386">
        <f>2023606+83893+18644</f>
        <v>2126143</v>
      </c>
      <c r="G10" s="388">
        <f t="shared" si="1"/>
        <v>101.48306111112939</v>
      </c>
      <c r="H10" s="386">
        <v>2338000</v>
      </c>
      <c r="I10" s="386">
        <f>2373376+98336+19171</f>
        <v>2490883</v>
      </c>
      <c r="J10" s="389">
        <f t="shared" si="2"/>
        <v>93.86229702479001</v>
      </c>
    </row>
    <row r="11" spans="1:10" s="3" customFormat="1" ht="15">
      <c r="A11" s="385" t="s">
        <v>133</v>
      </c>
      <c r="B11" s="386">
        <v>1669000</v>
      </c>
      <c r="C11" s="386">
        <f>1861971+17329</f>
        <v>1879300</v>
      </c>
      <c r="D11" s="387">
        <f t="shared" si="0"/>
        <v>88.80966317245783</v>
      </c>
      <c r="E11" s="386">
        <v>2212000</v>
      </c>
      <c r="F11" s="386">
        <f>2099571+86635+18731</f>
        <v>2204937</v>
      </c>
      <c r="G11" s="388">
        <f t="shared" si="1"/>
        <v>100.32032661250638</v>
      </c>
      <c r="H11" s="386">
        <v>2375000</v>
      </c>
      <c r="I11" s="386">
        <f>2468505.71+99948.56+19259.5</f>
        <v>2587713.77</v>
      </c>
      <c r="J11" s="389">
        <f t="shared" si="2"/>
        <v>91.77985708983572</v>
      </c>
    </row>
    <row r="12" spans="1:10" s="3" customFormat="1" ht="15">
      <c r="A12" s="385" t="s">
        <v>134</v>
      </c>
      <c r="B12" s="386">
        <v>1675000</v>
      </c>
      <c r="C12" s="386">
        <f>1867259+17381</f>
        <v>1884640</v>
      </c>
      <c r="D12" s="387">
        <f t="shared" si="0"/>
        <v>88.87639018592411</v>
      </c>
      <c r="E12" s="386">
        <v>2220000</v>
      </c>
      <c r="F12" s="386">
        <f>2102915+86891+18269</f>
        <v>2208075</v>
      </c>
      <c r="G12" s="388">
        <f t="shared" si="1"/>
        <v>100.54006317720186</v>
      </c>
      <c r="H12" s="386"/>
      <c r="I12" s="386"/>
      <c r="J12" s="389"/>
    </row>
    <row r="13" spans="1:10" s="3" customFormat="1" ht="15">
      <c r="A13" s="385" t="s">
        <v>135</v>
      </c>
      <c r="B13" s="386">
        <v>1703000</v>
      </c>
      <c r="C13" s="386">
        <f>1881506+17852</f>
        <v>1899358</v>
      </c>
      <c r="D13" s="387">
        <f t="shared" si="0"/>
        <v>89.6618752231017</v>
      </c>
      <c r="E13" s="386">
        <v>2246000</v>
      </c>
      <c r="F13" s="386">
        <f>2117403+87592+18341</f>
        <v>2223336</v>
      </c>
      <c r="G13" s="388">
        <f t="shared" si="1"/>
        <v>101.01936909221098</v>
      </c>
      <c r="H13" s="386"/>
      <c r="I13" s="386"/>
      <c r="J13" s="389"/>
    </row>
    <row r="14" spans="1:10" s="3" customFormat="1" ht="15">
      <c r="A14" s="385" t="s">
        <v>136</v>
      </c>
      <c r="B14" s="386">
        <v>1728000</v>
      </c>
      <c r="C14" s="386">
        <f>1902298+18042</f>
        <v>1920340</v>
      </c>
      <c r="D14" s="387">
        <f t="shared" si="0"/>
        <v>89.98406532176594</v>
      </c>
      <c r="E14" s="386">
        <v>2253000</v>
      </c>
      <c r="F14" s="386">
        <f>2131126+88321+18874</f>
        <v>2238321</v>
      </c>
      <c r="G14" s="388">
        <f t="shared" si="1"/>
        <v>100.65580406027554</v>
      </c>
      <c r="H14" s="386"/>
      <c r="I14" s="386"/>
      <c r="J14" s="389"/>
    </row>
    <row r="15" spans="1:10" s="3" customFormat="1" ht="15">
      <c r="A15" s="385" t="s">
        <v>137</v>
      </c>
      <c r="B15" s="386">
        <v>1717000</v>
      </c>
      <c r="C15" s="386">
        <f>1912382+18123</f>
        <v>1930505</v>
      </c>
      <c r="D15" s="387">
        <f t="shared" si="0"/>
        <v>88.94045858467085</v>
      </c>
      <c r="E15" s="386">
        <v>2435000</v>
      </c>
      <c r="F15" s="386">
        <f>2137965+88794+18511</f>
        <v>2245270</v>
      </c>
      <c r="G15" s="388">
        <f t="shared" si="1"/>
        <v>108.45020866087374</v>
      </c>
      <c r="H15" s="386"/>
      <c r="I15" s="386"/>
      <c r="J15" s="389"/>
    </row>
    <row r="16" spans="1:10" s="3" customFormat="1" ht="15">
      <c r="A16" s="385" t="s">
        <v>138</v>
      </c>
      <c r="B16" s="386">
        <v>1806000</v>
      </c>
      <c r="C16" s="386">
        <f>1914210+18124</f>
        <v>1932334</v>
      </c>
      <c r="D16" s="387">
        <f t="shared" si="0"/>
        <v>93.46210334238285</v>
      </c>
      <c r="E16" s="386">
        <v>2597000</v>
      </c>
      <c r="F16" s="386">
        <f>2160578+89527+18124</f>
        <v>2268229</v>
      </c>
      <c r="G16" s="388">
        <f t="shared" si="1"/>
        <v>114.49461231648128</v>
      </c>
      <c r="H16" s="386"/>
      <c r="I16" s="386"/>
      <c r="J16" s="389"/>
    </row>
    <row r="17" spans="1:10" s="3" customFormat="1" ht="15.75" thickBot="1">
      <c r="A17" s="390" t="s">
        <v>143</v>
      </c>
      <c r="B17" s="391">
        <f>SUM(B5:B16)</f>
        <v>19865378</v>
      </c>
      <c r="C17" s="391">
        <f>SUM(C5:C16)</f>
        <v>21944919</v>
      </c>
      <c r="D17" s="392">
        <f>+(B17/C17)*100</f>
        <v>90.52381555839874</v>
      </c>
      <c r="E17" s="391">
        <f>SUM(E5:E16)</f>
        <v>25703675</v>
      </c>
      <c r="F17" s="391">
        <f>SUM(F5:F16)</f>
        <v>26000327</v>
      </c>
      <c r="G17" s="393">
        <f>+(E17/F17)*100</f>
        <v>98.85904511893254</v>
      </c>
      <c r="H17" s="391">
        <f>SUM(H5:H16)</f>
        <v>16160000</v>
      </c>
      <c r="I17" s="391">
        <f>SUM(I5:I16)</f>
        <v>17459733.77</v>
      </c>
      <c r="J17" s="394">
        <f>+(H17/I17)*100</f>
        <v>92.55582137092347</v>
      </c>
    </row>
    <row r="18" spans="1:10" s="3" customFormat="1" ht="39.75" customHeight="1" thickTop="1">
      <c r="A18" s="724" t="s">
        <v>13</v>
      </c>
      <c r="B18" s="725"/>
      <c r="C18" s="725"/>
      <c r="D18" s="725"/>
      <c r="E18" s="725"/>
      <c r="F18" s="725"/>
      <c r="G18" s="726"/>
      <c r="H18" s="727"/>
      <c r="I18" s="727"/>
      <c r="J18" s="727"/>
    </row>
    <row r="19" spans="1:7" s="3" customFormat="1" ht="12.75" customHeight="1">
      <c r="A19" s="717"/>
      <c r="B19" s="718"/>
      <c r="C19" s="718"/>
      <c r="D19" s="718"/>
      <c r="E19" s="718"/>
      <c r="F19" s="21"/>
      <c r="G19" s="22"/>
    </row>
    <row r="20" s="3" customFormat="1" ht="15">
      <c r="A20" s="23" t="s">
        <v>107</v>
      </c>
    </row>
    <row r="21" s="3" customFormat="1" ht="15">
      <c r="G21" s="3" t="s">
        <v>107</v>
      </c>
    </row>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sheetData>
  <mergeCells count="8">
    <mergeCell ref="A2:J2"/>
    <mergeCell ref="A1:J1"/>
    <mergeCell ref="A19:E19"/>
    <mergeCell ref="B3:D3"/>
    <mergeCell ref="A3:A4"/>
    <mergeCell ref="E3:G3"/>
    <mergeCell ref="A18:J18"/>
    <mergeCell ref="H3:J3"/>
  </mergeCells>
  <printOptions horizontalCentered="1"/>
  <pageMargins left="0.3937007874015748" right="0" top="0.1968503937007874" bottom="0" header="0" footer="0"/>
  <pageSetup horizontalDpi="300" verticalDpi="300" orientation="landscape" paperSize="9" scale="95" r:id="rId2"/>
  <headerFooter alignWithMargins="0">
    <oddFooter>&amp;C&amp;A</oddFooter>
  </headerFooter>
  <ignoredErrors>
    <ignoredError sqref="D17 G17" formula="1"/>
  </ignoredErrors>
  <drawing r:id="rId1"/>
</worksheet>
</file>

<file path=xl/worksheets/sheet12.xml><?xml version="1.0" encoding="utf-8"?>
<worksheet xmlns="http://schemas.openxmlformats.org/spreadsheetml/2006/main" xmlns:r="http://schemas.openxmlformats.org/officeDocument/2006/relationships">
  <sheetPr>
    <tabColor indexed="12"/>
  </sheetPr>
  <dimension ref="A1:H40"/>
  <sheetViews>
    <sheetView showGridLines="0" workbookViewId="0" topLeftCell="A10">
      <selection activeCell="A19" sqref="A19:D19"/>
    </sheetView>
  </sheetViews>
  <sheetFormatPr defaultColWidth="9.00390625" defaultRowHeight="12.75"/>
  <cols>
    <col min="1" max="1" width="14.25390625" style="7" customWidth="1"/>
    <col min="2" max="2" width="14.25390625" style="1" customWidth="1"/>
    <col min="3" max="3" width="19.25390625" style="1" customWidth="1"/>
    <col min="4" max="4" width="16.75390625" style="1" customWidth="1"/>
    <col min="5" max="5" width="15.625" style="1" customWidth="1"/>
    <col min="6" max="7" width="9.125" style="1" customWidth="1"/>
    <col min="8" max="8" width="10.25390625" style="1" bestFit="1" customWidth="1"/>
    <col min="9" max="16384" width="9.125" style="1" customWidth="1"/>
  </cols>
  <sheetData>
    <row r="1" spans="1:5" s="13" customFormat="1" ht="31.5" customHeight="1">
      <c r="A1" s="729" t="s">
        <v>156</v>
      </c>
      <c r="B1" s="685"/>
      <c r="C1" s="685"/>
      <c r="D1" s="685"/>
      <c r="E1" s="685"/>
    </row>
    <row r="2" ht="3.75" customHeight="1"/>
    <row r="3" spans="1:5" s="13" customFormat="1" ht="16.5" thickBot="1">
      <c r="A3" s="11" t="s">
        <v>33</v>
      </c>
      <c r="B3" s="15"/>
      <c r="C3" s="15"/>
      <c r="E3" s="27" t="s">
        <v>166</v>
      </c>
    </row>
    <row r="4" spans="1:5" ht="21.75" thickTop="1">
      <c r="A4" s="515" t="s">
        <v>139</v>
      </c>
      <c r="B4" s="516" t="s">
        <v>153</v>
      </c>
      <c r="C4" s="516" t="s">
        <v>154</v>
      </c>
      <c r="D4" s="516" t="s">
        <v>144</v>
      </c>
      <c r="E4" s="517" t="s">
        <v>145</v>
      </c>
    </row>
    <row r="5" spans="1:5" ht="12.75">
      <c r="A5" s="518" t="s">
        <v>127</v>
      </c>
      <c r="B5" s="519">
        <v>1508000</v>
      </c>
      <c r="C5" s="519">
        <f aca="true" t="shared" si="0" ref="C5:C11">SUM(D5:E5)</f>
        <v>699000</v>
      </c>
      <c r="D5" s="519">
        <v>586000</v>
      </c>
      <c r="E5" s="520">
        <v>113000</v>
      </c>
    </row>
    <row r="6" spans="1:5" ht="12.75">
      <c r="A6" s="518" t="s">
        <v>128</v>
      </c>
      <c r="B6" s="519">
        <v>1554100</v>
      </c>
      <c r="C6" s="519">
        <f t="shared" si="0"/>
        <v>712000</v>
      </c>
      <c r="D6" s="519">
        <v>600000</v>
      </c>
      <c r="E6" s="520">
        <v>112000</v>
      </c>
    </row>
    <row r="7" spans="1:5" ht="12.75">
      <c r="A7" s="518" t="s">
        <v>129</v>
      </c>
      <c r="B7" s="519">
        <v>1685000</v>
      </c>
      <c r="C7" s="519">
        <f t="shared" si="0"/>
        <v>637000</v>
      </c>
      <c r="D7" s="519">
        <v>525000</v>
      </c>
      <c r="E7" s="520">
        <v>112000</v>
      </c>
    </row>
    <row r="8" spans="1:5" ht="12.75">
      <c r="A8" s="518" t="s">
        <v>130</v>
      </c>
      <c r="B8" s="519">
        <v>1503278</v>
      </c>
      <c r="C8" s="519">
        <f t="shared" si="0"/>
        <v>653000</v>
      </c>
      <c r="D8" s="519">
        <v>540000</v>
      </c>
      <c r="E8" s="520">
        <v>113000</v>
      </c>
    </row>
    <row r="9" spans="1:5" ht="12.75">
      <c r="A9" s="518" t="s">
        <v>131</v>
      </c>
      <c r="B9" s="519">
        <v>1660000</v>
      </c>
      <c r="C9" s="519">
        <f t="shared" si="0"/>
        <v>955500</v>
      </c>
      <c r="D9" s="519">
        <v>843000</v>
      </c>
      <c r="E9" s="520">
        <v>112500</v>
      </c>
    </row>
    <row r="10" spans="1:5" ht="12.75">
      <c r="A10" s="518" t="s">
        <v>132</v>
      </c>
      <c r="B10" s="519">
        <v>1657000</v>
      </c>
      <c r="C10" s="519">
        <f t="shared" si="0"/>
        <v>623000</v>
      </c>
      <c r="D10" s="519">
        <v>510000</v>
      </c>
      <c r="E10" s="520">
        <v>113000</v>
      </c>
    </row>
    <row r="11" spans="1:5" ht="12.75">
      <c r="A11" s="518" t="s">
        <v>133</v>
      </c>
      <c r="B11" s="519">
        <v>1669000</v>
      </c>
      <c r="C11" s="519">
        <f t="shared" si="0"/>
        <v>713000</v>
      </c>
      <c r="D11" s="519">
        <v>600000</v>
      </c>
      <c r="E11" s="520">
        <v>113000</v>
      </c>
    </row>
    <row r="12" spans="1:5" ht="12.75">
      <c r="A12" s="518" t="s">
        <v>134</v>
      </c>
      <c r="B12" s="519">
        <v>1675000</v>
      </c>
      <c r="C12" s="519">
        <f>SUM(D12:E12)</f>
        <v>900000</v>
      </c>
      <c r="D12" s="519">
        <v>850000</v>
      </c>
      <c r="E12" s="520">
        <v>50000</v>
      </c>
    </row>
    <row r="13" spans="1:5" ht="12.75">
      <c r="A13" s="518" t="s">
        <v>135</v>
      </c>
      <c r="B13" s="519">
        <v>1703000</v>
      </c>
      <c r="C13" s="519">
        <f>SUM(D13:E13)</f>
        <v>776500</v>
      </c>
      <c r="D13" s="519">
        <v>664000</v>
      </c>
      <c r="E13" s="520">
        <v>112500</v>
      </c>
    </row>
    <row r="14" spans="1:5" ht="12.75">
      <c r="A14" s="518" t="s">
        <v>136</v>
      </c>
      <c r="B14" s="519">
        <v>1728000</v>
      </c>
      <c r="C14" s="519">
        <f>SUM(D14:E14)</f>
        <v>670500</v>
      </c>
      <c r="D14" s="519">
        <v>558000</v>
      </c>
      <c r="E14" s="520">
        <v>112500</v>
      </c>
    </row>
    <row r="15" spans="1:5" ht="12.75">
      <c r="A15" s="518" t="s">
        <v>137</v>
      </c>
      <c r="B15" s="519">
        <v>1717000</v>
      </c>
      <c r="C15" s="519">
        <f>SUM(D15:E15)</f>
        <v>756267</v>
      </c>
      <c r="D15" s="519">
        <v>756267</v>
      </c>
      <c r="E15" s="520">
        <v>0</v>
      </c>
    </row>
    <row r="16" spans="1:5" ht="12.75">
      <c r="A16" s="518" t="s">
        <v>138</v>
      </c>
      <c r="B16" s="519">
        <v>1806000</v>
      </c>
      <c r="C16" s="519">
        <f>SUM(D16:E16)</f>
        <v>761500</v>
      </c>
      <c r="D16" s="519">
        <v>475000</v>
      </c>
      <c r="E16" s="520">
        <v>286500</v>
      </c>
    </row>
    <row r="17" spans="1:5" ht="13.5" thickBot="1">
      <c r="A17" s="521" t="s">
        <v>86</v>
      </c>
      <c r="B17" s="522">
        <f>SUM(B5:B16)</f>
        <v>19865378</v>
      </c>
      <c r="C17" s="522">
        <f>SUM(C5:C16)</f>
        <v>8857267</v>
      </c>
      <c r="D17" s="522">
        <f>SUM(D5:D16)</f>
        <v>7507267</v>
      </c>
      <c r="E17" s="523">
        <f>SUM(E5:E16)</f>
        <v>1350000</v>
      </c>
    </row>
    <row r="18" spans="1:5" ht="13.5" thickTop="1">
      <c r="A18" s="24"/>
      <c r="B18" s="25"/>
      <c r="C18" s="25" t="s">
        <v>107</v>
      </c>
      <c r="D18" s="25" t="s">
        <v>107</v>
      </c>
      <c r="E18" s="25" t="s">
        <v>107</v>
      </c>
    </row>
    <row r="19" spans="1:5" ht="18.75" customHeight="1" thickBot="1">
      <c r="A19" s="730" t="s">
        <v>165</v>
      </c>
      <c r="B19" s="731"/>
      <c r="C19" s="731"/>
      <c r="D19" s="731"/>
      <c r="E19" s="27" t="s">
        <v>167</v>
      </c>
    </row>
    <row r="20" spans="1:5" ht="22.5" customHeight="1" thickTop="1">
      <c r="A20" s="395" t="s">
        <v>139</v>
      </c>
      <c r="B20" s="349" t="s">
        <v>153</v>
      </c>
      <c r="C20" s="349" t="s">
        <v>154</v>
      </c>
      <c r="D20" s="349" t="s">
        <v>144</v>
      </c>
      <c r="E20" s="350" t="s">
        <v>145</v>
      </c>
    </row>
    <row r="21" spans="1:5" ht="13.5" customHeight="1">
      <c r="A21" s="396" t="s">
        <v>127</v>
      </c>
      <c r="B21" s="397">
        <f>+B5/1329.5</f>
        <v>1134.2610003760813</v>
      </c>
      <c r="C21" s="397">
        <f aca="true" t="shared" si="1" ref="C21:C32">SUM(D21:E21)</f>
        <v>525.7615644979315</v>
      </c>
      <c r="D21" s="397">
        <f>+D5/1329.5</f>
        <v>440.7672057164348</v>
      </c>
      <c r="E21" s="398">
        <f>+E5/1329.5</f>
        <v>84.9943587814968</v>
      </c>
    </row>
    <row r="22" spans="1:5" ht="12.75">
      <c r="A22" s="396" t="s">
        <v>128</v>
      </c>
      <c r="B22" s="397">
        <f>+B6/1278.5</f>
        <v>1215.5651153695737</v>
      </c>
      <c r="C22" s="397">
        <f t="shared" si="1"/>
        <v>556.902620258115</v>
      </c>
      <c r="D22" s="397">
        <f>+D6/1278.5</f>
        <v>469.2999608916699</v>
      </c>
      <c r="E22" s="398">
        <f>+E6/1278.5</f>
        <v>87.60265936644505</v>
      </c>
    </row>
    <row r="23" spans="1:5" ht="12.75">
      <c r="A23" s="396" t="s">
        <v>129</v>
      </c>
      <c r="B23" s="397">
        <f>+B7/1346.2</f>
        <v>1251.6713712672708</v>
      </c>
      <c r="C23" s="397">
        <f t="shared" si="1"/>
        <v>473.1837765562324</v>
      </c>
      <c r="D23" s="397">
        <f>+D7/1346.2</f>
        <v>389.98662902986183</v>
      </c>
      <c r="E23" s="398">
        <f>+E7/1346.2</f>
        <v>83.19714752637053</v>
      </c>
    </row>
    <row r="24" spans="1:5" ht="12.75">
      <c r="A24" s="396" t="s">
        <v>130</v>
      </c>
      <c r="B24" s="397">
        <f>+B8/1384.4</f>
        <v>1085.8696908407974</v>
      </c>
      <c r="C24" s="397">
        <f>SUM(D24:E24)</f>
        <v>471.684484253106</v>
      </c>
      <c r="D24" s="397">
        <f>+D8/1384.4</f>
        <v>390.06067610517186</v>
      </c>
      <c r="E24" s="398">
        <f>+E8/1384.4</f>
        <v>81.62380814793411</v>
      </c>
    </row>
    <row r="25" spans="1:5" ht="12.75">
      <c r="A25" s="396" t="s">
        <v>131</v>
      </c>
      <c r="B25" s="397">
        <f>+B9/1355</f>
        <v>1225.0922509225093</v>
      </c>
      <c r="C25" s="397">
        <f>SUM(D25:E25)</f>
        <v>705.1660516605166</v>
      </c>
      <c r="D25" s="397">
        <f>+D9/1355</f>
        <v>622.140221402214</v>
      </c>
      <c r="E25" s="398">
        <f>+E9/1355</f>
        <v>83.02583025830258</v>
      </c>
    </row>
    <row r="26" spans="1:5" ht="12.75">
      <c r="A26" s="396" t="s">
        <v>132</v>
      </c>
      <c r="B26" s="397">
        <f>+B10/1333.7</f>
        <v>1242.4083377071304</v>
      </c>
      <c r="C26" s="397">
        <f t="shared" si="1"/>
        <v>467.12154157606653</v>
      </c>
      <c r="D26" s="397">
        <f>+D10/1333.7</f>
        <v>382.3948414186099</v>
      </c>
      <c r="E26" s="398">
        <f>+E10/1333.7</f>
        <v>84.72670015745669</v>
      </c>
    </row>
    <row r="27" spans="1:5" ht="12.75">
      <c r="A27" s="396" t="s">
        <v>133</v>
      </c>
      <c r="B27" s="397">
        <f>+B11/1321.2</f>
        <v>1263.2455343627005</v>
      </c>
      <c r="C27" s="397">
        <f t="shared" si="1"/>
        <v>539.6609143203149</v>
      </c>
      <c r="D27" s="397">
        <f>+D11/1321.2</f>
        <v>454.1326067211626</v>
      </c>
      <c r="E27" s="398">
        <f>+E11/1321.2</f>
        <v>85.52830759915228</v>
      </c>
    </row>
    <row r="28" spans="1:5" ht="12.75">
      <c r="A28" s="396" t="s">
        <v>134</v>
      </c>
      <c r="B28" s="397">
        <f>+B12/1347.3</f>
        <v>1243.2271951310029</v>
      </c>
      <c r="C28" s="397">
        <f t="shared" si="1"/>
        <v>668.002672010688</v>
      </c>
      <c r="D28" s="397">
        <f>+D12/1347.3</f>
        <v>630.8914124545387</v>
      </c>
      <c r="E28" s="398">
        <f>+E12/1347.3</f>
        <v>37.111259556149335</v>
      </c>
    </row>
    <row r="29" spans="1:5" s="26" customFormat="1" ht="12.75">
      <c r="A29" s="399" t="s">
        <v>135</v>
      </c>
      <c r="B29" s="400">
        <f>+B13/1342.2</f>
        <v>1268.812397556251</v>
      </c>
      <c r="C29" s="400">
        <f t="shared" si="1"/>
        <v>578.5277901952019</v>
      </c>
      <c r="D29" s="400">
        <f>+D13/1342.2</f>
        <v>494.71017732081657</v>
      </c>
      <c r="E29" s="401">
        <f>+E13/1342.2</f>
        <v>83.81761287438533</v>
      </c>
    </row>
    <row r="30" spans="1:5" ht="12.75">
      <c r="A30" s="396" t="s">
        <v>136</v>
      </c>
      <c r="B30" s="397">
        <f>+B14/1341.7</f>
        <v>1287.918312588507</v>
      </c>
      <c r="C30" s="397">
        <f t="shared" si="1"/>
        <v>499.739136915853</v>
      </c>
      <c r="D30" s="397">
        <f>+D14/1341.7</f>
        <v>415.8902884400387</v>
      </c>
      <c r="E30" s="398">
        <f>+E14/1341.7</f>
        <v>83.84884847581426</v>
      </c>
    </row>
    <row r="31" spans="1:5" ht="12.75">
      <c r="A31" s="396" t="s">
        <v>137</v>
      </c>
      <c r="B31" s="397">
        <f>+B15/1350</f>
        <v>1271.851851851852</v>
      </c>
      <c r="C31" s="397">
        <f t="shared" si="1"/>
        <v>560.1977777777778</v>
      </c>
      <c r="D31" s="397">
        <f>+D15/1350</f>
        <v>560.1977777777778</v>
      </c>
      <c r="E31" s="398">
        <f>+E15/1350</f>
        <v>0</v>
      </c>
    </row>
    <row r="32" spans="1:5" ht="12.75">
      <c r="A32" s="396" t="s">
        <v>138</v>
      </c>
      <c r="B32" s="397">
        <f>+B16/1341.8</f>
        <v>1345.953197197794</v>
      </c>
      <c r="C32" s="397">
        <f t="shared" si="1"/>
        <v>567.5212401252049</v>
      </c>
      <c r="D32" s="397">
        <f>+D16/1341.8</f>
        <v>354.00208674914296</v>
      </c>
      <c r="E32" s="398">
        <f>+E16/1341.8</f>
        <v>213.519153376062</v>
      </c>
    </row>
    <row r="33" spans="1:5" ht="13.5" thickBot="1">
      <c r="A33" s="402" t="s">
        <v>86</v>
      </c>
      <c r="B33" s="403">
        <f>SUM(B21:B32)</f>
        <v>14835.876255171468</v>
      </c>
      <c r="C33" s="404">
        <f>SUM(C21:C32)</f>
        <v>6613.469570147008</v>
      </c>
      <c r="D33" s="404">
        <f>SUM(D21:D32)</f>
        <v>5604.473884027439</v>
      </c>
      <c r="E33" s="405">
        <f>SUM(E21:E32)</f>
        <v>1008.995686119569</v>
      </c>
    </row>
    <row r="34" ht="13.5" thickTop="1"/>
    <row r="39" ht="12.75">
      <c r="H39" s="29"/>
    </row>
    <row r="40" ht="12.75">
      <c r="H40" s="30"/>
    </row>
  </sheetData>
  <mergeCells count="2">
    <mergeCell ref="A1:E1"/>
    <mergeCell ref="A19:D19"/>
  </mergeCells>
  <printOptions/>
  <pageMargins left="0.75" right="0.75" top="1" bottom="1" header="0.5" footer="0.5"/>
  <pageSetup horizontalDpi="300" verticalDpi="300" orientation="portrait" paperSize="9" r:id="rId2"/>
  <headerFooter alignWithMargins="0">
    <oddHeader>&amp;C&amp;A</oddHeader>
    <oddFooter>&amp;C&amp;A</oddFooter>
  </headerFooter>
  <ignoredErrors>
    <ignoredError sqref="C21:C33" formula="1"/>
  </ignoredErrors>
  <drawing r:id="rId1"/>
</worksheet>
</file>

<file path=xl/worksheets/sheet13.xml><?xml version="1.0" encoding="utf-8"?>
<worksheet xmlns="http://schemas.openxmlformats.org/spreadsheetml/2006/main" xmlns:r="http://schemas.openxmlformats.org/officeDocument/2006/relationships">
  <sheetPr>
    <tabColor indexed="12"/>
  </sheetPr>
  <dimension ref="A1:I33"/>
  <sheetViews>
    <sheetView showGridLines="0" workbookViewId="0" topLeftCell="A1">
      <selection activeCell="H44" sqref="H44"/>
    </sheetView>
  </sheetViews>
  <sheetFormatPr defaultColWidth="9.00390625" defaultRowHeight="12.75"/>
  <cols>
    <col min="1" max="1" width="14.25390625" style="7" customWidth="1"/>
    <col min="2" max="2" width="11.875" style="1" customWidth="1"/>
    <col min="3" max="3" width="18.00390625" style="1" customWidth="1"/>
    <col min="4" max="4" width="12.25390625" style="1" customWidth="1"/>
    <col min="5" max="5" width="12.00390625" style="1" customWidth="1"/>
    <col min="6" max="6" width="15.625" style="1" customWidth="1"/>
    <col min="7" max="16384" width="9.125" style="1" customWidth="1"/>
  </cols>
  <sheetData>
    <row r="1" spans="1:6" s="13" customFormat="1" ht="33" customHeight="1">
      <c r="A1" s="729" t="s">
        <v>168</v>
      </c>
      <c r="B1" s="685"/>
      <c r="C1" s="685"/>
      <c r="D1" s="685"/>
      <c r="E1" s="685"/>
      <c r="F1" s="685"/>
    </row>
    <row r="2" ht="4.5" customHeight="1"/>
    <row r="3" spans="1:6" s="13" customFormat="1" ht="16.5" thickBot="1">
      <c r="A3" s="11" t="s">
        <v>34</v>
      </c>
      <c r="B3" s="15"/>
      <c r="C3" s="15"/>
      <c r="F3" s="27" t="s">
        <v>571</v>
      </c>
    </row>
    <row r="4" spans="1:6" ht="21.75" thickTop="1">
      <c r="A4" s="406" t="s">
        <v>139</v>
      </c>
      <c r="B4" s="349" t="s">
        <v>153</v>
      </c>
      <c r="C4" s="349" t="s">
        <v>154</v>
      </c>
      <c r="D4" s="349" t="s">
        <v>144</v>
      </c>
      <c r="E4" s="407" t="s">
        <v>170</v>
      </c>
      <c r="F4" s="350" t="s">
        <v>145</v>
      </c>
    </row>
    <row r="5" spans="1:6" ht="12.75">
      <c r="A5" s="396" t="s">
        <v>127</v>
      </c>
      <c r="B5" s="408">
        <v>1928000</v>
      </c>
      <c r="C5" s="408">
        <f aca="true" t="shared" si="0" ref="C5:C16">SUM(D5:F5)</f>
        <v>633000</v>
      </c>
      <c r="D5" s="408">
        <v>500000</v>
      </c>
      <c r="E5" s="409">
        <v>0</v>
      </c>
      <c r="F5" s="410">
        <v>133000</v>
      </c>
    </row>
    <row r="6" spans="1:6" ht="12.75">
      <c r="A6" s="396" t="s">
        <v>128</v>
      </c>
      <c r="B6" s="408">
        <v>1740000</v>
      </c>
      <c r="C6" s="408">
        <f t="shared" si="0"/>
        <v>1430000</v>
      </c>
      <c r="D6" s="408">
        <v>1297000</v>
      </c>
      <c r="E6" s="409">
        <v>0</v>
      </c>
      <c r="F6" s="410">
        <v>133000</v>
      </c>
    </row>
    <row r="7" spans="1:6" ht="12.75">
      <c r="A7" s="396" t="s">
        <v>129</v>
      </c>
      <c r="B7" s="408">
        <v>1948000</v>
      </c>
      <c r="C7" s="408">
        <f t="shared" si="0"/>
        <v>1055000</v>
      </c>
      <c r="D7" s="408">
        <v>922000</v>
      </c>
      <c r="E7" s="409">
        <v>0</v>
      </c>
      <c r="F7" s="410">
        <v>133000</v>
      </c>
    </row>
    <row r="8" spans="1:6" ht="12.75">
      <c r="A8" s="396" t="s">
        <v>130</v>
      </c>
      <c r="B8" s="408">
        <v>1808000</v>
      </c>
      <c r="C8" s="408">
        <f t="shared" si="0"/>
        <v>958717</v>
      </c>
      <c r="D8" s="408">
        <v>582000</v>
      </c>
      <c r="E8" s="409">
        <v>243717</v>
      </c>
      <c r="F8" s="410">
        <v>133000</v>
      </c>
    </row>
    <row r="9" spans="1:6" ht="12.75">
      <c r="A9" s="396" t="s">
        <v>131</v>
      </c>
      <c r="B9" s="408">
        <v>2159000</v>
      </c>
      <c r="C9" s="408">
        <f t="shared" si="0"/>
        <v>841000</v>
      </c>
      <c r="D9" s="408">
        <v>625000</v>
      </c>
      <c r="E9" s="409">
        <v>83000</v>
      </c>
      <c r="F9" s="410">
        <v>133000</v>
      </c>
    </row>
    <row r="10" spans="1:6" ht="12.75">
      <c r="A10" s="396" t="s">
        <v>132</v>
      </c>
      <c r="B10" s="408">
        <v>2157675</v>
      </c>
      <c r="C10" s="408">
        <f t="shared" si="0"/>
        <v>803000</v>
      </c>
      <c r="D10" s="408">
        <v>587000</v>
      </c>
      <c r="E10" s="409">
        <v>83000</v>
      </c>
      <c r="F10" s="410">
        <v>133000</v>
      </c>
    </row>
    <row r="11" spans="1:6" ht="12.75">
      <c r="A11" s="396" t="s">
        <v>133</v>
      </c>
      <c r="B11" s="408">
        <v>2212000</v>
      </c>
      <c r="C11" s="408">
        <f t="shared" si="0"/>
        <v>886893</v>
      </c>
      <c r="D11" s="408">
        <v>670000</v>
      </c>
      <c r="E11" s="409">
        <v>83893</v>
      </c>
      <c r="F11" s="410">
        <v>133000</v>
      </c>
    </row>
    <row r="12" spans="1:6" ht="12.75">
      <c r="A12" s="396" t="s">
        <v>134</v>
      </c>
      <c r="B12" s="408">
        <v>2220000</v>
      </c>
      <c r="C12" s="408">
        <f t="shared" si="0"/>
        <v>771600</v>
      </c>
      <c r="D12" s="408">
        <v>552000</v>
      </c>
      <c r="E12" s="409">
        <v>86600</v>
      </c>
      <c r="F12" s="410">
        <v>133000</v>
      </c>
    </row>
    <row r="13" spans="1:6" ht="12.75">
      <c r="A13" s="396" t="s">
        <v>570</v>
      </c>
      <c r="B13" s="408">
        <v>2246000</v>
      </c>
      <c r="C13" s="408">
        <f t="shared" si="0"/>
        <v>1000891</v>
      </c>
      <c r="D13" s="408">
        <v>781000</v>
      </c>
      <c r="E13" s="409">
        <v>86891</v>
      </c>
      <c r="F13" s="410">
        <v>133000</v>
      </c>
    </row>
    <row r="14" spans="1:6" ht="12.75">
      <c r="A14" s="396" t="s">
        <v>136</v>
      </c>
      <c r="B14" s="408">
        <v>2253000</v>
      </c>
      <c r="C14" s="408">
        <f t="shared" si="0"/>
        <v>1261592</v>
      </c>
      <c r="D14" s="408">
        <v>1041000</v>
      </c>
      <c r="E14" s="409">
        <v>87592</v>
      </c>
      <c r="F14" s="410">
        <v>133000</v>
      </c>
    </row>
    <row r="15" spans="1:6" ht="12.75">
      <c r="A15" s="396" t="s">
        <v>137</v>
      </c>
      <c r="B15" s="408">
        <v>2435000</v>
      </c>
      <c r="C15" s="408">
        <f t="shared" si="0"/>
        <v>961321</v>
      </c>
      <c r="D15" s="408">
        <v>740000</v>
      </c>
      <c r="E15" s="409">
        <v>88321</v>
      </c>
      <c r="F15" s="410">
        <v>133000</v>
      </c>
    </row>
    <row r="16" spans="1:6" ht="12.75">
      <c r="A16" s="396" t="s">
        <v>138</v>
      </c>
      <c r="B16" s="408">
        <v>2597000</v>
      </c>
      <c r="C16" s="408">
        <f t="shared" si="0"/>
        <v>451794</v>
      </c>
      <c r="D16" s="408">
        <v>230000</v>
      </c>
      <c r="E16" s="409">
        <v>88794</v>
      </c>
      <c r="F16" s="410">
        <v>133000</v>
      </c>
    </row>
    <row r="17" spans="1:9" ht="13.5" thickBot="1">
      <c r="A17" s="402" t="s">
        <v>86</v>
      </c>
      <c r="B17" s="411">
        <f>SUM(B5:B16)</f>
        <v>25703675</v>
      </c>
      <c r="C17" s="411">
        <f>SUM(C5:C16)</f>
        <v>11054808</v>
      </c>
      <c r="D17" s="411">
        <f>SUM(D5:D16)</f>
        <v>8527000</v>
      </c>
      <c r="E17" s="411">
        <f>SUM(E5:E16)</f>
        <v>931808</v>
      </c>
      <c r="F17" s="412">
        <f>SUM(F5:F16)</f>
        <v>1596000</v>
      </c>
      <c r="I17" s="29"/>
    </row>
    <row r="18" spans="1:6" ht="38.25" customHeight="1" thickTop="1">
      <c r="A18" s="732" t="s">
        <v>573</v>
      </c>
      <c r="B18" s="733"/>
      <c r="C18" s="733"/>
      <c r="D18" s="733"/>
      <c r="E18" s="733"/>
      <c r="F18" s="733"/>
    </row>
    <row r="19" spans="1:6" ht="18.75" customHeight="1" thickBot="1">
      <c r="A19" s="31" t="s">
        <v>169</v>
      </c>
      <c r="B19" s="32"/>
      <c r="C19" s="32"/>
      <c r="D19" s="32"/>
      <c r="E19" s="28"/>
      <c r="F19" s="27" t="s">
        <v>572</v>
      </c>
    </row>
    <row r="20" spans="1:6" ht="22.5" customHeight="1" thickTop="1">
      <c r="A20" s="395" t="s">
        <v>139</v>
      </c>
      <c r="B20" s="349" t="s">
        <v>153</v>
      </c>
      <c r="C20" s="349" t="s">
        <v>154</v>
      </c>
      <c r="D20" s="349" t="s">
        <v>144</v>
      </c>
      <c r="E20" s="407" t="s">
        <v>170</v>
      </c>
      <c r="F20" s="350" t="s">
        <v>145</v>
      </c>
    </row>
    <row r="21" spans="1:6" ht="13.5" customHeight="1">
      <c r="A21" s="396" t="s">
        <v>127</v>
      </c>
      <c r="B21" s="397">
        <f>+B5/1319.9</f>
        <v>1460.7167209637093</v>
      </c>
      <c r="C21" s="397">
        <f>+C5/1319.9</f>
        <v>479.5817864989772</v>
      </c>
      <c r="D21" s="397">
        <f>+D5/1319.9</f>
        <v>378.8165770134101</v>
      </c>
      <c r="E21" s="397">
        <f>+E5/1319.9</f>
        <v>0</v>
      </c>
      <c r="F21" s="398">
        <f>+F5/1319.9</f>
        <v>100.76520948556708</v>
      </c>
    </row>
    <row r="22" spans="1:6" ht="12.75">
      <c r="A22" s="396" t="s">
        <v>128</v>
      </c>
      <c r="B22" s="397">
        <f>+B6/1306</f>
        <v>1332.312404287902</v>
      </c>
      <c r="C22" s="397">
        <f>+C6/1306</f>
        <v>1094.9464012251149</v>
      </c>
      <c r="D22" s="397">
        <f>+D6/1306</f>
        <v>993.1087289433384</v>
      </c>
      <c r="E22" s="397">
        <f>+E6/1306</f>
        <v>0</v>
      </c>
      <c r="F22" s="398">
        <f>+F6/1306</f>
        <v>101.83767228177642</v>
      </c>
    </row>
    <row r="23" spans="1:6" ht="12.75">
      <c r="A23" s="396" t="s">
        <v>129</v>
      </c>
      <c r="B23" s="397">
        <f>+B7/1341.7</f>
        <v>1451.8893940523217</v>
      </c>
      <c r="C23" s="397">
        <f>+C7/1341.7</f>
        <v>786.3158679287471</v>
      </c>
      <c r="D23" s="397">
        <f>+D7/1341.7</f>
        <v>687.1878959528956</v>
      </c>
      <c r="E23" s="397">
        <f>+E7/1341.7</f>
        <v>0</v>
      </c>
      <c r="F23" s="398">
        <f>+F7/1341.7</f>
        <v>99.12797197585152</v>
      </c>
    </row>
    <row r="24" spans="1:6" ht="12.75">
      <c r="A24" s="396" t="s">
        <v>130</v>
      </c>
      <c r="B24" s="397">
        <f>+B8/1315.5</f>
        <v>1374.3823641201063</v>
      </c>
      <c r="C24" s="397">
        <f>+C8/1315.5</f>
        <v>728.7852527556063</v>
      </c>
      <c r="D24" s="397">
        <f>+D8/1315.5</f>
        <v>442.41733181299884</v>
      </c>
      <c r="E24" s="397">
        <f>+E8/1315.5</f>
        <v>185.26567844925884</v>
      </c>
      <c r="F24" s="398">
        <f>+F8/1315.5</f>
        <v>101.10224249334854</v>
      </c>
    </row>
    <row r="25" spans="1:6" ht="12.75">
      <c r="A25" s="396" t="s">
        <v>131</v>
      </c>
      <c r="B25" s="397">
        <f>+B9/1560</f>
        <v>1383.974358974359</v>
      </c>
      <c r="C25" s="397">
        <f>+C9/1560</f>
        <v>539.1025641025641</v>
      </c>
      <c r="D25" s="397">
        <f>+D9/1560</f>
        <v>400.64102564102564</v>
      </c>
      <c r="E25" s="397">
        <f>+E9/1560</f>
        <v>53.205128205128204</v>
      </c>
      <c r="F25" s="398">
        <f>+F9/1560</f>
        <v>85.25641025641026</v>
      </c>
    </row>
    <row r="26" spans="1:6" ht="12.75">
      <c r="A26" s="396" t="s">
        <v>132</v>
      </c>
      <c r="B26" s="397">
        <f>+B10/1569.7</f>
        <v>1374.5779448302223</v>
      </c>
      <c r="C26" s="397">
        <f>+C10/1569.7</f>
        <v>511.56271899088995</v>
      </c>
      <c r="D26" s="397">
        <f>+D10/1569.7</f>
        <v>373.95680703319107</v>
      </c>
      <c r="E26" s="397">
        <f>+E10/1569.7</f>
        <v>52.87634579856023</v>
      </c>
      <c r="F26" s="398">
        <f>+F10/1569.7</f>
        <v>84.72956615913868</v>
      </c>
    </row>
    <row r="27" spans="1:6" ht="12.75">
      <c r="A27" s="396" t="s">
        <v>133</v>
      </c>
      <c r="B27" s="397">
        <f>+B11/1481.1</f>
        <v>1493.4845722773616</v>
      </c>
      <c r="C27" s="397">
        <f>+C11/1481.1</f>
        <v>598.806967794207</v>
      </c>
      <c r="D27" s="397">
        <f>+D11/1481.1</f>
        <v>452.36648436972524</v>
      </c>
      <c r="E27" s="397">
        <f>+E11/1481.1</f>
        <v>56.642360407805015</v>
      </c>
      <c r="F27" s="398">
        <f>+F11/1481.1</f>
        <v>89.7981230166768</v>
      </c>
    </row>
    <row r="28" spans="1:6" ht="12.75">
      <c r="A28" s="396" t="s">
        <v>134</v>
      </c>
      <c r="B28" s="397">
        <f>+B12/1447.8</f>
        <v>1533.3609614587651</v>
      </c>
      <c r="C28" s="397">
        <f>+C12/1447.8</f>
        <v>532.9465395772897</v>
      </c>
      <c r="D28" s="397">
        <f>+D12/1447.8</f>
        <v>381.26813095731455</v>
      </c>
      <c r="E28" s="397">
        <f>+E12/1447.8</f>
        <v>59.81489155960768</v>
      </c>
      <c r="F28" s="398">
        <f>+F12/1447.8</f>
        <v>91.86351706036746</v>
      </c>
    </row>
    <row r="29" spans="1:6" s="26" customFormat="1" ht="12.75">
      <c r="A29" s="399" t="s">
        <v>570</v>
      </c>
      <c r="B29" s="397">
        <f>+B13/1497.1</f>
        <v>1500.2337853182821</v>
      </c>
      <c r="C29" s="397">
        <f>+C13/1497.1</f>
        <v>668.5532028588605</v>
      </c>
      <c r="D29" s="397">
        <f>+D13/1497.1</f>
        <v>521.6752387950037</v>
      </c>
      <c r="E29" s="397">
        <f>+E13/1497.1</f>
        <v>58.03954311669227</v>
      </c>
      <c r="F29" s="398">
        <f>+F13/1497.1</f>
        <v>88.83842094716452</v>
      </c>
    </row>
    <row r="30" spans="1:6" ht="12.75">
      <c r="A30" s="396" t="s">
        <v>136</v>
      </c>
      <c r="B30" s="397">
        <f>+B14/1454</f>
        <v>1549.5185694635488</v>
      </c>
      <c r="C30" s="397">
        <f>+C14/1454</f>
        <v>867.6698762035763</v>
      </c>
      <c r="D30" s="397">
        <f>+D14/1454</f>
        <v>715.9559834938102</v>
      </c>
      <c r="E30" s="397">
        <f>+E14/1454</f>
        <v>60.24209078404402</v>
      </c>
      <c r="F30" s="398">
        <f>+F14/1454</f>
        <v>91.47180192572215</v>
      </c>
    </row>
    <row r="31" spans="1:6" ht="12.75">
      <c r="A31" s="396" t="s">
        <v>137</v>
      </c>
      <c r="B31" s="397">
        <f>+B15/1445.8</f>
        <v>1684.188684465348</v>
      </c>
      <c r="C31" s="397">
        <f>+C15/1445.8</f>
        <v>664.905934430765</v>
      </c>
      <c r="D31" s="397">
        <f>+D15/1445.8</f>
        <v>511.82736201410984</v>
      </c>
      <c r="E31" s="397">
        <f>+E15/1445.8</f>
        <v>61.08797897357864</v>
      </c>
      <c r="F31" s="398">
        <f>+F15/1445.8</f>
        <v>91.9905934430765</v>
      </c>
    </row>
    <row r="32" spans="1:6" ht="12.75">
      <c r="A32" s="396" t="s">
        <v>138</v>
      </c>
      <c r="B32" s="397">
        <f>+B16/1405.6</f>
        <v>1847.6095617529882</v>
      </c>
      <c r="C32" s="397">
        <f>+C16/1405.6</f>
        <v>321.42430278884467</v>
      </c>
      <c r="D32" s="397">
        <f>+D16/1405.6</f>
        <v>163.63118952760388</v>
      </c>
      <c r="E32" s="397">
        <f>+E16/1405.6</f>
        <v>63.171599317017645</v>
      </c>
      <c r="F32" s="398">
        <f>+F16/1405.6</f>
        <v>94.62151394422311</v>
      </c>
    </row>
    <row r="33" spans="1:6" ht="13.5" thickBot="1">
      <c r="A33" s="402" t="s">
        <v>86</v>
      </c>
      <c r="B33" s="403">
        <f>SUM(B21:B32)</f>
        <v>17986.249321964915</v>
      </c>
      <c r="C33" s="404">
        <f>SUM(C21:C32)</f>
        <v>7794.601415155443</v>
      </c>
      <c r="D33" s="404">
        <f>SUM(D21:D32)</f>
        <v>6022.852755554427</v>
      </c>
      <c r="E33" s="404">
        <f>SUM(E21:E32)</f>
        <v>650.3456166116925</v>
      </c>
      <c r="F33" s="405">
        <f>SUM(F21:F32)</f>
        <v>1121.403042989323</v>
      </c>
    </row>
    <row r="34" ht="13.5" thickTop="1"/>
  </sheetData>
  <mergeCells count="2">
    <mergeCell ref="A1:F1"/>
    <mergeCell ref="A18:F18"/>
  </mergeCells>
  <printOptions/>
  <pageMargins left="0.75" right="0.75" top="1" bottom="1" header="0.5" footer="0.5"/>
  <pageSetup horizontalDpi="300" verticalDpi="300" orientation="portrait" paperSize="9"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abColor indexed="12"/>
  </sheetPr>
  <dimension ref="A1:H33"/>
  <sheetViews>
    <sheetView showGridLines="0" workbookViewId="0" topLeftCell="A10">
      <selection activeCell="B12" sqref="B12"/>
    </sheetView>
  </sheetViews>
  <sheetFormatPr defaultColWidth="9.00390625" defaultRowHeight="12.75"/>
  <cols>
    <col min="1" max="1" width="14.25390625" style="7" customWidth="1"/>
    <col min="2" max="2" width="11.875" style="1" customWidth="1"/>
    <col min="3" max="3" width="18.00390625" style="1" customWidth="1"/>
    <col min="4" max="4" width="12.25390625" style="1" customWidth="1"/>
    <col min="5" max="5" width="12.00390625" style="1" customWidth="1"/>
    <col min="6" max="6" width="15.625" style="1" customWidth="1"/>
    <col min="7" max="16384" width="9.125" style="1" customWidth="1"/>
  </cols>
  <sheetData>
    <row r="1" spans="1:6" s="13" customFormat="1" ht="33" customHeight="1">
      <c r="A1" s="729" t="s">
        <v>67</v>
      </c>
      <c r="B1" s="685"/>
      <c r="C1" s="685"/>
      <c r="D1" s="685"/>
      <c r="E1" s="685"/>
      <c r="F1" s="685"/>
    </row>
    <row r="2" ht="4.5" customHeight="1"/>
    <row r="3" spans="1:6" s="13" customFormat="1" ht="16.5" thickBot="1">
      <c r="A3" s="11" t="s">
        <v>35</v>
      </c>
      <c r="B3" s="15"/>
      <c r="C3" s="15"/>
      <c r="F3" s="27" t="s">
        <v>571</v>
      </c>
    </row>
    <row r="4" spans="1:6" ht="21.75" thickTop="1">
      <c r="A4" s="406" t="s">
        <v>139</v>
      </c>
      <c r="B4" s="349" t="s">
        <v>153</v>
      </c>
      <c r="C4" s="349" t="s">
        <v>154</v>
      </c>
      <c r="D4" s="349" t="s">
        <v>144</v>
      </c>
      <c r="E4" s="407" t="s">
        <v>170</v>
      </c>
      <c r="F4" s="350" t="s">
        <v>145</v>
      </c>
    </row>
    <row r="5" spans="1:6" ht="12.75">
      <c r="A5" s="396" t="s">
        <v>127</v>
      </c>
      <c r="B5" s="408">
        <v>2186000</v>
      </c>
      <c r="C5" s="408">
        <f aca="true" t="shared" si="0" ref="C5:C16">SUM(D5:F5)</f>
        <v>1189650</v>
      </c>
      <c r="D5" s="408">
        <v>1050000</v>
      </c>
      <c r="E5" s="409"/>
      <c r="F5" s="410">
        <v>139650</v>
      </c>
    </row>
    <row r="6" spans="1:6" ht="12.75">
      <c r="A6" s="396" t="s">
        <v>128</v>
      </c>
      <c r="B6" s="408">
        <v>2226000</v>
      </c>
      <c r="C6" s="408">
        <f t="shared" si="0"/>
        <v>1391900</v>
      </c>
      <c r="D6" s="408">
        <v>1066000</v>
      </c>
      <c r="E6" s="409">
        <v>192130</v>
      </c>
      <c r="F6" s="410">
        <v>133770</v>
      </c>
    </row>
    <row r="7" spans="1:6" ht="12.75">
      <c r="A7" s="396" t="s">
        <v>129</v>
      </c>
      <c r="B7" s="408">
        <v>2298000</v>
      </c>
      <c r="C7" s="408">
        <f t="shared" si="0"/>
        <v>1116130</v>
      </c>
      <c r="D7" s="408">
        <v>875000</v>
      </c>
      <c r="E7" s="409">
        <v>95600</v>
      </c>
      <c r="F7" s="410">
        <v>145530</v>
      </c>
    </row>
    <row r="8" spans="1:6" ht="12.75">
      <c r="A8" s="396" t="s">
        <v>130</v>
      </c>
      <c r="B8" s="408">
        <f>+9!H8</f>
        <v>2197000</v>
      </c>
      <c r="C8" s="408">
        <f t="shared" si="0"/>
        <v>928460</v>
      </c>
      <c r="D8" s="408">
        <v>695000</v>
      </c>
      <c r="E8" s="409">
        <v>96410</v>
      </c>
      <c r="F8" s="410">
        <v>137050</v>
      </c>
    </row>
    <row r="9" spans="1:6" ht="12.75">
      <c r="A9" s="396" t="s">
        <v>131</v>
      </c>
      <c r="B9" s="408">
        <v>2540000</v>
      </c>
      <c r="C9" s="408">
        <f t="shared" si="0"/>
        <v>1691374</v>
      </c>
      <c r="D9" s="408">
        <v>1451000</v>
      </c>
      <c r="E9" s="409">
        <v>97374</v>
      </c>
      <c r="F9" s="410">
        <v>143000</v>
      </c>
    </row>
    <row r="10" spans="1:6" ht="12.75">
      <c r="A10" s="396" t="s">
        <v>132</v>
      </c>
      <c r="B10" s="408">
        <f>+9!H10</f>
        <v>2338000</v>
      </c>
      <c r="C10" s="408">
        <f t="shared" si="0"/>
        <v>1636512</v>
      </c>
      <c r="D10" s="408">
        <v>1396000</v>
      </c>
      <c r="E10" s="409">
        <v>97512</v>
      </c>
      <c r="F10" s="410">
        <v>143000</v>
      </c>
    </row>
    <row r="11" spans="1:6" ht="12.75">
      <c r="A11" s="396" t="s">
        <v>133</v>
      </c>
      <c r="B11" s="408">
        <v>2375000</v>
      </c>
      <c r="C11" s="408">
        <f t="shared" si="0"/>
        <v>591336</v>
      </c>
      <c r="D11" s="408">
        <v>350000</v>
      </c>
      <c r="E11" s="409">
        <v>98336</v>
      </c>
      <c r="F11" s="410">
        <v>143000</v>
      </c>
    </row>
    <row r="12" spans="1:6" ht="12.75">
      <c r="A12" s="396" t="s">
        <v>134</v>
      </c>
      <c r="B12" s="408"/>
      <c r="C12" s="408">
        <f t="shared" si="0"/>
        <v>0</v>
      </c>
      <c r="D12" s="408"/>
      <c r="E12" s="409"/>
      <c r="F12" s="410"/>
    </row>
    <row r="13" spans="1:6" ht="12.75">
      <c r="A13" s="396" t="s">
        <v>800</v>
      </c>
      <c r="B13" s="408"/>
      <c r="C13" s="408">
        <f t="shared" si="0"/>
        <v>0</v>
      </c>
      <c r="D13" s="408"/>
      <c r="E13" s="409"/>
      <c r="F13" s="410"/>
    </row>
    <row r="14" spans="1:6" ht="12.75">
      <c r="A14" s="396" t="s">
        <v>136</v>
      </c>
      <c r="B14" s="408"/>
      <c r="C14" s="408">
        <f t="shared" si="0"/>
        <v>0</v>
      </c>
      <c r="D14" s="408"/>
      <c r="E14" s="409"/>
      <c r="F14" s="410"/>
    </row>
    <row r="15" spans="1:6" ht="12.75">
      <c r="A15" s="396" t="s">
        <v>137</v>
      </c>
      <c r="B15" s="408"/>
      <c r="C15" s="408">
        <f t="shared" si="0"/>
        <v>0</v>
      </c>
      <c r="D15" s="408"/>
      <c r="E15" s="409"/>
      <c r="F15" s="410"/>
    </row>
    <row r="16" spans="1:6" ht="12.75">
      <c r="A16" s="396" t="s">
        <v>138</v>
      </c>
      <c r="B16" s="408"/>
      <c r="C16" s="408">
        <f t="shared" si="0"/>
        <v>0</v>
      </c>
      <c r="D16" s="408"/>
      <c r="E16" s="409"/>
      <c r="F16" s="410"/>
    </row>
    <row r="17" spans="1:8" ht="13.5" thickBot="1">
      <c r="A17" s="402" t="s">
        <v>86</v>
      </c>
      <c r="B17" s="411">
        <f>SUM(B5:B16)</f>
        <v>16160000</v>
      </c>
      <c r="C17" s="411">
        <f>SUM(C5:C16)</f>
        <v>8545362</v>
      </c>
      <c r="D17" s="411">
        <f>SUM(D5:D16)</f>
        <v>6883000</v>
      </c>
      <c r="E17" s="411">
        <f>SUM(E5:E16)</f>
        <v>677362</v>
      </c>
      <c r="F17" s="412">
        <f>SUM(F5:F16)</f>
        <v>985000</v>
      </c>
      <c r="H17" s="188"/>
    </row>
    <row r="18" spans="1:6" ht="21.75" customHeight="1" thickTop="1">
      <c r="A18" s="732"/>
      <c r="B18" s="733"/>
      <c r="C18" s="733"/>
      <c r="D18" s="733"/>
      <c r="E18" s="733"/>
      <c r="F18" s="733"/>
    </row>
    <row r="19" spans="1:6" ht="18.75" customHeight="1" thickBot="1">
      <c r="A19" s="31" t="s">
        <v>797</v>
      </c>
      <c r="B19" s="32"/>
      <c r="C19" s="32"/>
      <c r="D19" s="32"/>
      <c r="E19" s="28"/>
      <c r="F19" s="27" t="s">
        <v>572</v>
      </c>
    </row>
    <row r="20" spans="1:6" ht="22.5" customHeight="1" thickTop="1">
      <c r="A20" s="395" t="s">
        <v>139</v>
      </c>
      <c r="B20" s="349" t="s">
        <v>153</v>
      </c>
      <c r="C20" s="349" t="s">
        <v>154</v>
      </c>
      <c r="D20" s="349" t="s">
        <v>144</v>
      </c>
      <c r="E20" s="407" t="s">
        <v>170</v>
      </c>
      <c r="F20" s="350" t="s">
        <v>145</v>
      </c>
    </row>
    <row r="21" spans="1:6" ht="13.5" customHeight="1">
      <c r="A21" s="396" t="s">
        <v>127</v>
      </c>
      <c r="B21" s="397">
        <f>+B5/1413.5</f>
        <v>1546.5157410682702</v>
      </c>
      <c r="C21" s="397">
        <f>+C5/1413.5</f>
        <v>841.6342412451362</v>
      </c>
      <c r="D21" s="397">
        <f>+D5/1413.5</f>
        <v>742.8369296073577</v>
      </c>
      <c r="E21" s="397">
        <f>+E5/1413.5</f>
        <v>0</v>
      </c>
      <c r="F21" s="401">
        <f>+F5/1413.5</f>
        <v>98.79731163777856</v>
      </c>
    </row>
    <row r="22" spans="1:6" ht="12.75">
      <c r="A22" s="396" t="s">
        <v>128</v>
      </c>
      <c r="B22" s="397">
        <f>+B6/1413</f>
        <v>1575.371549893843</v>
      </c>
      <c r="C22" s="397">
        <f>+C6/1413</f>
        <v>985.0672328379335</v>
      </c>
      <c r="D22" s="397">
        <f>+D6/1413</f>
        <v>754.4232130219391</v>
      </c>
      <c r="E22" s="397">
        <f>+E6/1413</f>
        <v>135.9731068648266</v>
      </c>
      <c r="F22" s="401">
        <f>+F6/1413</f>
        <v>94.67091295116772</v>
      </c>
    </row>
    <row r="23" spans="1:6" ht="12.75">
      <c r="A23" s="396" t="s">
        <v>129</v>
      </c>
      <c r="B23" s="397">
        <f>+B7/1380.1</f>
        <v>1665.096732120861</v>
      </c>
      <c r="C23" s="397">
        <f>+C7/1380.1</f>
        <v>808.7312513585972</v>
      </c>
      <c r="D23" s="397">
        <f>+D7/1380.1</f>
        <v>634.0120281139049</v>
      </c>
      <c r="E23" s="397">
        <f>+E7/1380.1</f>
        <v>69.27034272878777</v>
      </c>
      <c r="F23" s="401">
        <f>+F7/1380.1</f>
        <v>105.44888051590465</v>
      </c>
    </row>
    <row r="24" spans="1:6" ht="12.75">
      <c r="A24" s="396" t="s">
        <v>130</v>
      </c>
      <c r="B24" s="397">
        <f>+B8/1360.7</f>
        <v>1614.6101271404423</v>
      </c>
      <c r="C24" s="397">
        <f>+C8/1360.7</f>
        <v>682.3399720731976</v>
      </c>
      <c r="D24" s="397">
        <f>+D8/1360.7</f>
        <v>510.7665172337767</v>
      </c>
      <c r="E24" s="397">
        <f>+E8/1360.7</f>
        <v>70.85323730432866</v>
      </c>
      <c r="F24" s="401">
        <f>+F8/1360.7</f>
        <v>100.72021753509223</v>
      </c>
    </row>
    <row r="25" spans="1:6" ht="12.75">
      <c r="A25" s="396" t="s">
        <v>131</v>
      </c>
      <c r="B25" s="397">
        <f>+B9/1316.6</f>
        <v>1929.2116056509192</v>
      </c>
      <c r="C25" s="397">
        <f>+C9/1316.6</f>
        <v>1284.6528938174085</v>
      </c>
      <c r="D25" s="397">
        <f>+D9/1316.6</f>
        <v>1102.0811180312928</v>
      </c>
      <c r="E25" s="397">
        <f>+E9/1316.6</f>
        <v>73.95868145222543</v>
      </c>
      <c r="F25" s="401">
        <f>+F9/1316.6</f>
        <v>108.61309433389033</v>
      </c>
    </row>
    <row r="26" spans="1:6" ht="12.75">
      <c r="A26" s="396" t="s">
        <v>132</v>
      </c>
      <c r="B26" s="397">
        <f>+B10/1304.6</f>
        <v>1792.1201900965814</v>
      </c>
      <c r="C26" s="397">
        <f>+C10/1304.6</f>
        <v>1254.4166794419746</v>
      </c>
      <c r="D26" s="397">
        <f>+D10/1304.6</f>
        <v>1070.0597884409015</v>
      </c>
      <c r="E26" s="397">
        <f>+E10/1304.6</f>
        <v>74.74474934845931</v>
      </c>
      <c r="F26" s="401">
        <f>+F10/1304.6</f>
        <v>109.61214165261383</v>
      </c>
    </row>
    <row r="27" spans="1:6" ht="12.75">
      <c r="A27" s="396" t="s">
        <v>133</v>
      </c>
      <c r="B27" s="397">
        <f>+B11/1274.6</f>
        <v>1863.329672053978</v>
      </c>
      <c r="C27" s="397">
        <f>+C11/1274.6</f>
        <v>463.9384905068257</v>
      </c>
      <c r="D27" s="397">
        <f>+D11/1274.6</f>
        <v>274.5959516711125</v>
      </c>
      <c r="E27" s="397">
        <f>+E11/1274.6</f>
        <v>77.15047858151577</v>
      </c>
      <c r="F27" s="398">
        <f>+F11/1274.6</f>
        <v>112.1920602541974</v>
      </c>
    </row>
    <row r="28" spans="1:6" ht="12.75">
      <c r="A28" s="396" t="s">
        <v>134</v>
      </c>
      <c r="B28" s="397">
        <f>+B12/1447.8</f>
        <v>0</v>
      </c>
      <c r="C28" s="397">
        <f>+C12/1447.8</f>
        <v>0</v>
      </c>
      <c r="D28" s="397">
        <f>+D12/1447.8</f>
        <v>0</v>
      </c>
      <c r="E28" s="397">
        <f>+E12/1447.8</f>
        <v>0</v>
      </c>
      <c r="F28" s="398">
        <f>+F12/1447.8</f>
        <v>0</v>
      </c>
    </row>
    <row r="29" spans="1:6" s="26" customFormat="1" ht="12.75">
      <c r="A29" s="399" t="s">
        <v>801</v>
      </c>
      <c r="B29" s="397">
        <f>+B13/1497.1</f>
        <v>0</v>
      </c>
      <c r="C29" s="397">
        <f>+C13/1497.1</f>
        <v>0</v>
      </c>
      <c r="D29" s="397">
        <f>+D13/1497.1</f>
        <v>0</v>
      </c>
      <c r="E29" s="397">
        <f>+E13/1497.1</f>
        <v>0</v>
      </c>
      <c r="F29" s="398">
        <f>+F13/1497.1</f>
        <v>0</v>
      </c>
    </row>
    <row r="30" spans="1:6" ht="12.75">
      <c r="A30" s="396" t="s">
        <v>136</v>
      </c>
      <c r="B30" s="397">
        <f>+B14/1454</f>
        <v>0</v>
      </c>
      <c r="C30" s="397">
        <f>+C14/1454</f>
        <v>0</v>
      </c>
      <c r="D30" s="397">
        <f>+D14/1454</f>
        <v>0</v>
      </c>
      <c r="E30" s="397">
        <f>+E14/1454</f>
        <v>0</v>
      </c>
      <c r="F30" s="398">
        <f>+F14/1454</f>
        <v>0</v>
      </c>
    </row>
    <row r="31" spans="1:6" ht="12.75">
      <c r="A31" s="396" t="s">
        <v>137</v>
      </c>
      <c r="B31" s="397">
        <f>+B15/1445.8</f>
        <v>0</v>
      </c>
      <c r="C31" s="397">
        <f>+C15/1445.8</f>
        <v>0</v>
      </c>
      <c r="D31" s="397">
        <f>+D15/1445.8</f>
        <v>0</v>
      </c>
      <c r="E31" s="397">
        <f>+E15/1445.8</f>
        <v>0</v>
      </c>
      <c r="F31" s="398">
        <f>+F15/1445.8</f>
        <v>0</v>
      </c>
    </row>
    <row r="32" spans="1:6" ht="12.75">
      <c r="A32" s="396" t="s">
        <v>138</v>
      </c>
      <c r="B32" s="397">
        <f>+B16/1405.6</f>
        <v>0</v>
      </c>
      <c r="C32" s="397">
        <f>+C16/1405.6</f>
        <v>0</v>
      </c>
      <c r="D32" s="397">
        <f>+D16/1405.6</f>
        <v>0</v>
      </c>
      <c r="E32" s="397">
        <f>+E16/1405.6</f>
        <v>0</v>
      </c>
      <c r="F32" s="398">
        <f>+F16/1405.6</f>
        <v>0</v>
      </c>
    </row>
    <row r="33" spans="1:6" ht="13.5" thickBot="1">
      <c r="A33" s="402" t="s">
        <v>86</v>
      </c>
      <c r="B33" s="403">
        <f>SUM(B21:B32)</f>
        <v>11986.255618024894</v>
      </c>
      <c r="C33" s="404">
        <f>SUM(C21:C32)</f>
        <v>6320.780761281073</v>
      </c>
      <c r="D33" s="404">
        <f>SUM(D21:D32)</f>
        <v>5088.775546120285</v>
      </c>
      <c r="E33" s="404">
        <f>SUM(E21:E32)</f>
        <v>501.95059628014354</v>
      </c>
      <c r="F33" s="405">
        <f>SUM(F21:F32)</f>
        <v>730.0546188806446</v>
      </c>
    </row>
    <row r="34" ht="13.5" thickTop="1"/>
  </sheetData>
  <mergeCells count="2">
    <mergeCell ref="A1:F1"/>
    <mergeCell ref="A18:F18"/>
  </mergeCells>
  <printOptions/>
  <pageMargins left="0.75" right="0.75" top="1" bottom="1" header="0.5" footer="0.5"/>
  <pageSetup horizontalDpi="300" verticalDpi="300" orientation="portrait"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tabColor indexed="12"/>
  </sheetPr>
  <dimension ref="A1:Q35"/>
  <sheetViews>
    <sheetView showGridLines="0" workbookViewId="0" topLeftCell="A19">
      <selection activeCell="C38" sqref="C38"/>
    </sheetView>
  </sheetViews>
  <sheetFormatPr defaultColWidth="9.00390625" defaultRowHeight="12.75"/>
  <cols>
    <col min="1" max="1" width="15.875" style="13" customWidth="1"/>
    <col min="2" max="2" width="17.00390625" style="13" customWidth="1"/>
    <col min="3" max="3" width="13.875" style="13" customWidth="1"/>
    <col min="4" max="5" width="14.125" style="13" customWidth="1"/>
    <col min="6" max="6" width="13.625" style="13" customWidth="1"/>
    <col min="7" max="7" width="14.625" style="13" customWidth="1"/>
    <col min="8" max="8" width="16.375" style="13" customWidth="1"/>
    <col min="9" max="9" width="5.375" style="13" customWidth="1"/>
    <col min="10" max="10" width="16.625" style="13" customWidth="1"/>
    <col min="11" max="11" width="15.75390625" style="13" customWidth="1"/>
    <col min="12" max="12" width="11.25390625" style="13" customWidth="1"/>
    <col min="13" max="13" width="17.75390625" style="13" customWidth="1"/>
    <col min="14" max="16384" width="9.125" style="13" customWidth="1"/>
  </cols>
  <sheetData>
    <row r="1" spans="1:8" ht="15.75">
      <c r="A1" s="143" t="s">
        <v>454</v>
      </c>
      <c r="B1" s="33"/>
      <c r="C1" s="33"/>
      <c r="H1" s="13" t="s">
        <v>107</v>
      </c>
    </row>
    <row r="2" spans="1:13" ht="21" customHeight="1" thickBot="1">
      <c r="A2" s="36" t="s">
        <v>36</v>
      </c>
      <c r="B2" s="4"/>
      <c r="C2" s="34"/>
      <c r="D2" s="34"/>
      <c r="E2" s="1"/>
      <c r="F2" s="1"/>
      <c r="G2" s="1"/>
      <c r="H2" s="539" t="s">
        <v>107</v>
      </c>
      <c r="I2" s="539"/>
      <c r="J2" s="1" t="s">
        <v>107</v>
      </c>
      <c r="K2" s="539" t="s">
        <v>107</v>
      </c>
      <c r="L2" s="1"/>
      <c r="M2" s="1"/>
    </row>
    <row r="3" spans="1:13" ht="20.25" customHeight="1" thickTop="1">
      <c r="A3" s="413" t="s">
        <v>107</v>
      </c>
      <c r="B3" s="414">
        <v>1999</v>
      </c>
      <c r="C3" s="414">
        <v>2000</v>
      </c>
      <c r="D3" s="414">
        <v>2001</v>
      </c>
      <c r="E3" s="415">
        <v>2002</v>
      </c>
      <c r="F3" s="415">
        <v>2003</v>
      </c>
      <c r="G3" s="415">
        <v>2004</v>
      </c>
      <c r="H3" s="416">
        <v>2005</v>
      </c>
      <c r="J3" s="416">
        <v>2006</v>
      </c>
      <c r="K3" s="416" t="s">
        <v>30</v>
      </c>
      <c r="L3" s="417"/>
      <c r="M3" s="418"/>
    </row>
    <row r="4" spans="1:13" ht="18.75" customHeight="1">
      <c r="A4" s="419" t="s">
        <v>199</v>
      </c>
      <c r="B4" s="420">
        <f aca="true" t="shared" si="0" ref="B4:H4">+B5+B6+B7+B8+B9</f>
        <v>6355639</v>
      </c>
      <c r="C4" s="420">
        <f t="shared" si="0"/>
        <v>6565167</v>
      </c>
      <c r="D4" s="420">
        <f t="shared" si="0"/>
        <v>6136107</v>
      </c>
      <c r="E4" s="420">
        <f t="shared" si="0"/>
        <v>6563187</v>
      </c>
      <c r="F4" s="420">
        <f t="shared" si="0"/>
        <v>6750460</v>
      </c>
      <c r="G4" s="420">
        <f t="shared" si="0"/>
        <v>6952848</v>
      </c>
      <c r="H4" s="420">
        <f t="shared" si="0"/>
        <v>7651705</v>
      </c>
      <c r="J4" s="420">
        <f>+J5+J6+J7+J8+J9</f>
        <v>8582395</v>
      </c>
      <c r="K4" s="420">
        <f>+K5+K6+K7+K8+K9</f>
        <v>9141376</v>
      </c>
      <c r="L4" s="421" t="s">
        <v>200</v>
      </c>
      <c r="M4" s="422"/>
    </row>
    <row r="5" spans="1:13" ht="23.25" customHeight="1">
      <c r="A5" s="419" t="s">
        <v>25</v>
      </c>
      <c r="B5" s="423">
        <v>5005403</v>
      </c>
      <c r="C5" s="423">
        <v>5254125</v>
      </c>
      <c r="D5" s="423">
        <v>4886881</v>
      </c>
      <c r="E5" s="423">
        <v>5223283</v>
      </c>
      <c r="F5" s="423">
        <v>5615238</v>
      </c>
      <c r="G5" s="423">
        <v>6181251</v>
      </c>
      <c r="H5" s="423">
        <v>6918605</v>
      </c>
      <c r="J5" s="423">
        <v>7818642</v>
      </c>
      <c r="K5" s="424">
        <f>+'23'!D699</f>
        <v>8407625</v>
      </c>
      <c r="L5" s="425" t="s">
        <v>191</v>
      </c>
      <c r="M5" s="426"/>
    </row>
    <row r="6" spans="1:13" ht="15.75">
      <c r="A6" s="419" t="s">
        <v>171</v>
      </c>
      <c r="B6" s="423">
        <v>229816</v>
      </c>
      <c r="C6" s="423">
        <v>253301</v>
      </c>
      <c r="D6" s="423">
        <v>191187</v>
      </c>
      <c r="E6" s="423">
        <v>215259</v>
      </c>
      <c r="F6" s="423">
        <v>231915</v>
      </c>
      <c r="G6" s="423">
        <v>219000</v>
      </c>
      <c r="H6" s="423">
        <v>241032</v>
      </c>
      <c r="J6" s="423">
        <v>248340</v>
      </c>
      <c r="K6" s="424">
        <v>252154</v>
      </c>
      <c r="L6" s="425" t="s">
        <v>192</v>
      </c>
      <c r="M6" s="426"/>
    </row>
    <row r="7" spans="1:13" ht="30.75" customHeight="1">
      <c r="A7" s="419" t="s">
        <v>26</v>
      </c>
      <c r="B7" s="423">
        <v>901265</v>
      </c>
      <c r="C7" s="423">
        <v>843957</v>
      </c>
      <c r="D7" s="423">
        <v>888675</v>
      </c>
      <c r="E7" s="423">
        <v>942024</v>
      </c>
      <c r="F7" s="423">
        <v>697630</v>
      </c>
      <c r="G7" s="423">
        <v>327962</v>
      </c>
      <c r="H7" s="427">
        <v>266558</v>
      </c>
      <c r="J7" s="423">
        <v>271369</v>
      </c>
      <c r="K7" s="424">
        <v>251168</v>
      </c>
      <c r="L7" s="425" t="s">
        <v>193</v>
      </c>
      <c r="M7" s="426"/>
    </row>
    <row r="8" spans="1:13" ht="15.75">
      <c r="A8" s="419" t="s">
        <v>172</v>
      </c>
      <c r="B8" s="423">
        <v>25329</v>
      </c>
      <c r="C8" s="423">
        <v>29109</v>
      </c>
      <c r="D8" s="423">
        <v>27058</v>
      </c>
      <c r="E8" s="423">
        <v>33458</v>
      </c>
      <c r="F8" s="423">
        <v>40409</v>
      </c>
      <c r="G8" s="423">
        <v>47918</v>
      </c>
      <c r="H8" s="423">
        <v>47332</v>
      </c>
      <c r="J8" s="423">
        <v>56093</v>
      </c>
      <c r="K8" s="424">
        <v>38329</v>
      </c>
      <c r="L8" s="425" t="s">
        <v>195</v>
      </c>
      <c r="M8" s="426"/>
    </row>
    <row r="9" spans="1:13" ht="15.75">
      <c r="A9" s="419" t="s">
        <v>173</v>
      </c>
      <c r="B9" s="423">
        <v>193826</v>
      </c>
      <c r="C9" s="423">
        <v>184675</v>
      </c>
      <c r="D9" s="423">
        <v>142306</v>
      </c>
      <c r="E9" s="423">
        <v>149163</v>
      </c>
      <c r="F9" s="423">
        <v>165268</v>
      </c>
      <c r="G9" s="423">
        <v>176717</v>
      </c>
      <c r="H9" s="423">
        <v>178178</v>
      </c>
      <c r="J9" s="423">
        <v>187951</v>
      </c>
      <c r="K9" s="424">
        <v>192100</v>
      </c>
      <c r="L9" s="425" t="s">
        <v>196</v>
      </c>
      <c r="M9" s="426"/>
    </row>
    <row r="10" spans="1:13" ht="15.75">
      <c r="A10" s="419" t="s">
        <v>174</v>
      </c>
      <c r="B10" s="420">
        <v>3148826</v>
      </c>
      <c r="C10" s="420">
        <v>3339327</v>
      </c>
      <c r="D10" s="420">
        <v>3560638</v>
      </c>
      <c r="E10" s="420">
        <v>3747573</v>
      </c>
      <c r="F10" s="420">
        <v>3935523</v>
      </c>
      <c r="G10" s="420">
        <v>4120866</v>
      </c>
      <c r="H10" s="420">
        <v>4308186</v>
      </c>
      <c r="J10" s="420">
        <v>4510701</v>
      </c>
      <c r="K10" s="420">
        <f>+'25'!H96</f>
        <v>4647100</v>
      </c>
      <c r="L10" s="421" t="s">
        <v>197</v>
      </c>
      <c r="M10" s="422"/>
    </row>
    <row r="11" spans="1:13" ht="15.75">
      <c r="A11" s="419" t="s">
        <v>175</v>
      </c>
      <c r="B11" s="420">
        <v>21469875</v>
      </c>
      <c r="C11" s="420">
        <v>22541181</v>
      </c>
      <c r="D11" s="420">
        <f>+D5*3.17+((2418992+61649)*2.23)+(D9*4)</f>
        <v>21592466.2</v>
      </c>
      <c r="E11" s="420">
        <f>+E5*3.17+((2555965+62542)*2.23)+(E9*4)</f>
        <v>22993729.72</v>
      </c>
      <c r="F11" s="420">
        <f>+F5*3.17+((2694834+62709)*2.23)+(F9*4)</f>
        <v>24610697.35</v>
      </c>
      <c r="G11" s="420">
        <f>+G5*3.17+((2838422+63071)*2.23)+(G9*4)</f>
        <v>26771763.06</v>
      </c>
      <c r="H11" s="420">
        <f>+H5*3.17+((62700+2988054)*2.23)+(H9*4)</f>
        <v>29447871.269999996</v>
      </c>
      <c r="I11" s="13" t="s">
        <v>23</v>
      </c>
      <c r="J11" s="420">
        <v>18040101</v>
      </c>
      <c r="K11" s="420">
        <v>20687026</v>
      </c>
      <c r="L11" s="421" t="s">
        <v>194</v>
      </c>
      <c r="M11" s="422"/>
    </row>
    <row r="12" spans="1:13" ht="36.75" customHeight="1" thickBot="1">
      <c r="A12" s="428" t="s">
        <v>176</v>
      </c>
      <c r="B12" s="429">
        <f aca="true" t="shared" si="1" ref="B12:K12">+B4+B10+B11</f>
        <v>30974340</v>
      </c>
      <c r="C12" s="429">
        <f t="shared" si="1"/>
        <v>32445675</v>
      </c>
      <c r="D12" s="429">
        <f t="shared" si="1"/>
        <v>31289211.2</v>
      </c>
      <c r="E12" s="429">
        <f t="shared" si="1"/>
        <v>33304489.72</v>
      </c>
      <c r="F12" s="429">
        <f t="shared" si="1"/>
        <v>35296680.35</v>
      </c>
      <c r="G12" s="429">
        <f t="shared" si="1"/>
        <v>37845477.06</v>
      </c>
      <c r="H12" s="429">
        <f t="shared" si="1"/>
        <v>41407762.269999996</v>
      </c>
      <c r="I12" s="13" t="s">
        <v>23</v>
      </c>
      <c r="J12" s="429">
        <f t="shared" si="1"/>
        <v>31133197</v>
      </c>
      <c r="K12" s="429">
        <f t="shared" si="1"/>
        <v>34475502</v>
      </c>
      <c r="L12" s="430" t="s">
        <v>198</v>
      </c>
      <c r="M12" s="431"/>
    </row>
    <row r="13" spans="1:2" ht="21.75" customHeight="1" thickBot="1" thickTop="1">
      <c r="A13" s="734" t="s">
        <v>76</v>
      </c>
      <c r="B13" s="735"/>
    </row>
    <row r="14" spans="1:3" ht="36" customHeight="1" thickTop="1">
      <c r="A14" s="153" t="s">
        <v>72</v>
      </c>
      <c r="B14" s="154" t="s">
        <v>73</v>
      </c>
      <c r="C14" s="13" t="s">
        <v>32</v>
      </c>
    </row>
    <row r="15" spans="1:12" ht="13.5" customHeight="1">
      <c r="A15" s="155">
        <v>1960</v>
      </c>
      <c r="B15" s="156">
        <v>24.3</v>
      </c>
      <c r="C15" s="738" t="s">
        <v>24</v>
      </c>
      <c r="D15" s="739"/>
      <c r="E15" s="739"/>
      <c r="F15" s="739"/>
      <c r="G15" s="740"/>
      <c r="H15" s="740"/>
      <c r="I15" s="740"/>
      <c r="J15" s="740"/>
      <c r="K15" s="740"/>
      <c r="L15" s="740"/>
    </row>
    <row r="16" spans="1:12" ht="13.5" customHeight="1">
      <c r="A16" s="155">
        <v>1965</v>
      </c>
      <c r="B16" s="156">
        <v>16.88</v>
      </c>
      <c r="C16" s="738" t="s">
        <v>31</v>
      </c>
      <c r="D16" s="739"/>
      <c r="E16" s="739"/>
      <c r="F16" s="739"/>
      <c r="G16" s="740"/>
      <c r="H16" s="740"/>
      <c r="I16" s="740"/>
      <c r="J16" s="740"/>
      <c r="K16" s="740"/>
      <c r="L16" s="740"/>
    </row>
    <row r="17" spans="1:2" ht="13.5" customHeight="1">
      <c r="A17" s="155">
        <v>1970</v>
      </c>
      <c r="B17" s="156">
        <v>9.03</v>
      </c>
    </row>
    <row r="18" spans="1:2" ht="13.5" customHeight="1">
      <c r="A18" s="155">
        <v>1975</v>
      </c>
      <c r="B18" s="156">
        <v>6.29</v>
      </c>
    </row>
    <row r="19" spans="1:2" ht="13.5" customHeight="1">
      <c r="A19" s="155">
        <v>1980</v>
      </c>
      <c r="B19" s="156">
        <v>3.47</v>
      </c>
    </row>
    <row r="20" spans="1:2" ht="13.5" customHeight="1">
      <c r="A20" s="155">
        <v>1985</v>
      </c>
      <c r="B20" s="156">
        <v>2.45</v>
      </c>
    </row>
    <row r="21" spans="1:2" ht="13.5" customHeight="1">
      <c r="A21" s="155">
        <v>1990</v>
      </c>
      <c r="B21" s="156">
        <v>2.39</v>
      </c>
    </row>
    <row r="22" spans="1:2" ht="13.5" customHeight="1">
      <c r="A22" s="155">
        <v>1995</v>
      </c>
      <c r="B22" s="156">
        <v>2.44</v>
      </c>
    </row>
    <row r="23" spans="1:2" ht="13.5" customHeight="1">
      <c r="A23" s="155">
        <v>1999</v>
      </c>
      <c r="B23" s="156">
        <v>2.02</v>
      </c>
    </row>
    <row r="24" spans="1:2" ht="13.5" customHeight="1">
      <c r="A24" s="155">
        <v>2000</v>
      </c>
      <c r="B24" s="156">
        <v>1.97</v>
      </c>
    </row>
    <row r="25" spans="1:2" ht="13.5" customHeight="1">
      <c r="A25" s="155">
        <v>2001</v>
      </c>
      <c r="B25" s="156">
        <v>1.72</v>
      </c>
    </row>
    <row r="26" spans="1:2" ht="13.5" customHeight="1">
      <c r="A26" s="155">
        <v>2002</v>
      </c>
      <c r="B26" s="156">
        <v>1.75</v>
      </c>
    </row>
    <row r="27" spans="1:2" ht="13.5" customHeight="1">
      <c r="A27" s="155">
        <v>2003</v>
      </c>
      <c r="B27" s="156">
        <v>1.72</v>
      </c>
    </row>
    <row r="28" spans="1:2" ht="14.25" customHeight="1">
      <c r="A28" s="155">
        <v>2004</v>
      </c>
      <c r="B28" s="156">
        <v>1.69</v>
      </c>
    </row>
    <row r="29" spans="1:2" ht="14.25" customHeight="1">
      <c r="A29" s="155">
        <v>2005</v>
      </c>
      <c r="B29" s="156">
        <f>+H4/H10</f>
        <v>1.7760851086745093</v>
      </c>
    </row>
    <row r="30" spans="1:2" ht="18.75" customHeight="1">
      <c r="A30" s="155">
        <f>+J3</f>
        <v>2006</v>
      </c>
      <c r="B30" s="156">
        <f>+J4/J10</f>
        <v>1.9026743293337334</v>
      </c>
    </row>
    <row r="31" spans="1:13" ht="13.5" customHeight="1" thickBot="1">
      <c r="A31" s="158" t="s">
        <v>824</v>
      </c>
      <c r="B31" s="157">
        <f>+K4/K10</f>
        <v>1.9671141141787352</v>
      </c>
      <c r="C31" s="37"/>
      <c r="D31" s="35"/>
      <c r="E31" s="35"/>
      <c r="F31" s="35"/>
      <c r="G31" s="35"/>
      <c r="H31" s="35"/>
      <c r="I31" s="35"/>
      <c r="J31" s="35"/>
      <c r="K31" s="35"/>
      <c r="L31" s="35"/>
      <c r="M31" s="35"/>
    </row>
    <row r="32" ht="11.25" customHeight="1" thickTop="1"/>
    <row r="33" spans="1:10" ht="15.75">
      <c r="A33" s="736" t="s">
        <v>77</v>
      </c>
      <c r="B33" s="737"/>
      <c r="C33" s="737"/>
      <c r="D33" s="737"/>
      <c r="E33" s="737"/>
      <c r="F33" s="737"/>
      <c r="G33" s="737"/>
      <c r="H33" s="737"/>
      <c r="I33" s="737"/>
      <c r="J33" s="737"/>
    </row>
    <row r="34" spans="2:17" s="97" customFormat="1" ht="15.75">
      <c r="B34" s="97">
        <v>1960</v>
      </c>
      <c r="C34" s="97">
        <v>1965</v>
      </c>
      <c r="D34" s="97">
        <v>1970</v>
      </c>
      <c r="E34" s="97">
        <v>1975</v>
      </c>
      <c r="F34" s="97">
        <v>1980</v>
      </c>
      <c r="G34" s="97">
        <v>1985</v>
      </c>
      <c r="H34" s="97">
        <v>1990</v>
      </c>
      <c r="J34" s="97">
        <v>1995</v>
      </c>
      <c r="K34" s="97">
        <v>1999</v>
      </c>
      <c r="L34" s="97">
        <v>2000</v>
      </c>
      <c r="M34" s="97">
        <v>2001</v>
      </c>
      <c r="N34" s="97">
        <v>2002</v>
      </c>
      <c r="O34" s="97">
        <v>2003</v>
      </c>
      <c r="P34" s="97">
        <v>2004</v>
      </c>
      <c r="Q34" s="97">
        <v>2005</v>
      </c>
    </row>
    <row r="35" spans="2:17" s="97" customFormat="1" ht="15.75">
      <c r="B35" s="97">
        <v>24.3</v>
      </c>
      <c r="C35" s="97">
        <v>16.88</v>
      </c>
      <c r="D35" s="97">
        <v>9.03</v>
      </c>
      <c r="E35" s="97">
        <v>6.29</v>
      </c>
      <c r="F35" s="97">
        <v>3.47</v>
      </c>
      <c r="G35" s="97">
        <v>2.45</v>
      </c>
      <c r="H35" s="97">
        <v>2.39</v>
      </c>
      <c r="J35" s="97">
        <v>2.44</v>
      </c>
      <c r="K35" s="97">
        <v>2.02</v>
      </c>
      <c r="L35" s="97">
        <v>1.97</v>
      </c>
      <c r="M35" s="97">
        <v>1.72</v>
      </c>
      <c r="N35" s="97">
        <v>1.75</v>
      </c>
      <c r="O35" s="97">
        <v>1.72</v>
      </c>
      <c r="P35" s="97">
        <v>1.69</v>
      </c>
      <c r="Q35" s="97">
        <v>1.75</v>
      </c>
    </row>
  </sheetData>
  <mergeCells count="4">
    <mergeCell ref="A13:B13"/>
    <mergeCell ref="A33:J33"/>
    <mergeCell ref="C15:L15"/>
    <mergeCell ref="C16:L16"/>
  </mergeCells>
  <printOptions/>
  <pageMargins left="0.35433070866141736" right="0.35433070866141736" top="0.8661417322834646" bottom="0.5118110236220472" header="0.5118110236220472" footer="0.5118110236220472"/>
  <pageSetup horizontalDpi="300" verticalDpi="300" orientation="landscape" paperSize="9" scale="75"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tabColor indexed="39"/>
  </sheetPr>
  <dimension ref="A1:G29"/>
  <sheetViews>
    <sheetView showGridLines="0" workbookViewId="0" topLeftCell="A7">
      <selection activeCell="F16" sqref="F16"/>
    </sheetView>
  </sheetViews>
  <sheetFormatPr defaultColWidth="9.00390625" defaultRowHeight="12.75"/>
  <cols>
    <col min="1" max="1" width="20.00390625" style="1" customWidth="1"/>
    <col min="2" max="2" width="12.625" style="1" customWidth="1"/>
    <col min="3" max="3" width="11.625" style="1" customWidth="1"/>
    <col min="4" max="4" width="12.625" style="1" customWidth="1"/>
    <col min="5" max="5" width="13.625" style="1" bestFit="1" customWidth="1"/>
    <col min="6" max="7" width="10.25390625" style="1" customWidth="1"/>
    <col min="8" max="16384" width="9.125" style="1" customWidth="1"/>
  </cols>
  <sheetData>
    <row r="1" spans="1:5" ht="16.5" customHeight="1">
      <c r="A1" s="729" t="s">
        <v>217</v>
      </c>
      <c r="B1" s="685"/>
      <c r="C1" s="685"/>
      <c r="D1" s="685"/>
      <c r="E1" s="685"/>
    </row>
    <row r="2" s="13" customFormat="1" ht="24" customHeight="1" thickBot="1">
      <c r="A2" s="15" t="s">
        <v>37</v>
      </c>
    </row>
    <row r="3" spans="1:5" ht="18.75" customHeight="1" thickTop="1">
      <c r="A3" s="765" t="s">
        <v>7</v>
      </c>
      <c r="B3" s="766"/>
      <c r="C3" s="766"/>
      <c r="D3" s="766"/>
      <c r="E3" s="767"/>
    </row>
    <row r="4" spans="1:5" ht="18" customHeight="1">
      <c r="A4" s="432" t="s">
        <v>214</v>
      </c>
      <c r="B4" s="433">
        <v>585</v>
      </c>
      <c r="C4" s="756" t="s">
        <v>71</v>
      </c>
      <c r="D4" s="757"/>
      <c r="E4" s="758"/>
    </row>
    <row r="5" spans="1:5" ht="17.25" customHeight="1">
      <c r="A5" s="432" t="s">
        <v>215</v>
      </c>
      <c r="B5" s="433">
        <v>419.45</v>
      </c>
      <c r="C5" s="756" t="s">
        <v>260</v>
      </c>
      <c r="D5" s="757"/>
      <c r="E5" s="758"/>
    </row>
    <row r="6" spans="1:5" ht="19.5" customHeight="1">
      <c r="A6" s="762" t="s">
        <v>8</v>
      </c>
      <c r="B6" s="763"/>
      <c r="C6" s="763"/>
      <c r="D6" s="763"/>
      <c r="E6" s="764"/>
    </row>
    <row r="7" spans="1:7" ht="17.25" customHeight="1">
      <c r="A7" s="432" t="s">
        <v>216</v>
      </c>
      <c r="B7" s="433">
        <v>547.37</v>
      </c>
      <c r="C7" s="756" t="s">
        <v>260</v>
      </c>
      <c r="D7" s="757"/>
      <c r="E7" s="758"/>
      <c r="G7" s="580"/>
    </row>
    <row r="8" spans="1:5" ht="35.25" customHeight="1" thickBot="1">
      <c r="A8" s="759" t="s">
        <v>814</v>
      </c>
      <c r="B8" s="760"/>
      <c r="C8" s="760"/>
      <c r="D8" s="760"/>
      <c r="E8" s="761"/>
    </row>
    <row r="9" spans="1:3" ht="13.5" thickTop="1">
      <c r="A9" s="39"/>
      <c r="B9" s="38"/>
      <c r="C9" s="38"/>
    </row>
    <row r="10" ht="12.75">
      <c r="E10" s="1" t="s">
        <v>107</v>
      </c>
    </row>
    <row r="11" spans="1:5" ht="19.5" customHeight="1">
      <c r="A11" s="729" t="s">
        <v>455</v>
      </c>
      <c r="B11" s="685"/>
      <c r="C11" s="685"/>
      <c r="D11" s="685"/>
      <c r="E11" s="685" t="s">
        <v>107</v>
      </c>
    </row>
    <row r="12" ht="24.75" customHeight="1" thickBot="1">
      <c r="A12" s="15" t="s">
        <v>38</v>
      </c>
    </row>
    <row r="13" spans="1:6" ht="37.5" customHeight="1" thickTop="1">
      <c r="A13" s="434"/>
      <c r="B13" s="435" t="s">
        <v>221</v>
      </c>
      <c r="C13" s="435" t="s">
        <v>245</v>
      </c>
      <c r="D13" s="435" t="s">
        <v>275</v>
      </c>
      <c r="E13" s="435" t="s">
        <v>568</v>
      </c>
      <c r="F13" s="534">
        <v>2006</v>
      </c>
    </row>
    <row r="14" spans="1:6" ht="19.5" customHeight="1">
      <c r="A14" s="436" t="s">
        <v>208</v>
      </c>
      <c r="B14" s="437">
        <v>149163</v>
      </c>
      <c r="C14" s="437">
        <v>158034</v>
      </c>
      <c r="D14" s="437">
        <v>176717</v>
      </c>
      <c r="E14" s="437">
        <v>178178</v>
      </c>
      <c r="F14" s="535">
        <f>+'13'!J9</f>
        <v>187951</v>
      </c>
    </row>
    <row r="15" spans="1:6" ht="21" customHeight="1">
      <c r="A15" s="436" t="s">
        <v>177</v>
      </c>
      <c r="B15" s="437">
        <f>+B14*4</f>
        <v>596652</v>
      </c>
      <c r="C15" s="437">
        <f>+C14*4</f>
        <v>632136</v>
      </c>
      <c r="D15" s="437">
        <f>+D14*4</f>
        <v>706868</v>
      </c>
      <c r="E15" s="437">
        <f>+E14*4</f>
        <v>712712</v>
      </c>
      <c r="F15" s="535">
        <f>+F14*4</f>
        <v>751804</v>
      </c>
    </row>
    <row r="16" spans="1:7" ht="21" customHeight="1" thickBot="1">
      <c r="A16" s="438" t="s">
        <v>78</v>
      </c>
      <c r="B16" s="439">
        <f>SUM(B14:B15)</f>
        <v>745815</v>
      </c>
      <c r="C16" s="439">
        <f>SUM(C14:C15)</f>
        <v>790170</v>
      </c>
      <c r="D16" s="439">
        <f>SUM(D14:D15)</f>
        <v>883585</v>
      </c>
      <c r="E16" s="439">
        <f>SUM(E14:E15)</f>
        <v>890890</v>
      </c>
      <c r="F16" s="536">
        <f>SUM(F14:F15)</f>
        <v>939755</v>
      </c>
      <c r="G16" s="99"/>
    </row>
    <row r="17" spans="1:5" ht="15.75" customHeight="1" thickTop="1">
      <c r="A17" s="40"/>
      <c r="B17" s="41"/>
      <c r="C17" s="41"/>
      <c r="D17" s="41"/>
      <c r="E17" s="41"/>
    </row>
    <row r="18" ht="13.5" thickBot="1"/>
    <row r="19" spans="1:5" ht="52.5" customHeight="1" thickTop="1">
      <c r="A19" s="753" t="s">
        <v>218</v>
      </c>
      <c r="B19" s="720"/>
      <c r="C19" s="720"/>
      <c r="D19" s="754" t="s">
        <v>577</v>
      </c>
      <c r="E19" s="755"/>
    </row>
    <row r="20" spans="1:5" ht="24.75" customHeight="1">
      <c r="A20" s="752" t="s">
        <v>209</v>
      </c>
      <c r="B20" s="709"/>
      <c r="C20" s="709"/>
      <c r="D20" s="750">
        <v>41680800</v>
      </c>
      <c r="E20" s="751">
        <f>+(9262400*0.3)*15</f>
        <v>41680800</v>
      </c>
    </row>
    <row r="21" spans="1:5" ht="24.75" customHeight="1">
      <c r="A21" s="752" t="s">
        <v>210</v>
      </c>
      <c r="B21" s="709"/>
      <c r="C21" s="709"/>
      <c r="D21" s="750">
        <v>49137494</v>
      </c>
      <c r="E21" s="751">
        <f>+(10919443*0.3)*15</f>
        <v>49137493.5</v>
      </c>
    </row>
    <row r="22" spans="1:5" ht="24.75" customHeight="1">
      <c r="A22" s="752" t="s">
        <v>207</v>
      </c>
      <c r="B22" s="709"/>
      <c r="C22" s="709"/>
      <c r="D22" s="750">
        <v>58964994</v>
      </c>
      <c r="E22" s="751">
        <f>+(13103332*0.3)*15</f>
        <v>58964993.99999999</v>
      </c>
    </row>
    <row r="23" spans="1:5" ht="24.75" customHeight="1">
      <c r="A23" s="752" t="s">
        <v>243</v>
      </c>
      <c r="B23" s="709"/>
      <c r="C23" s="709"/>
      <c r="D23" s="750">
        <v>68702373</v>
      </c>
      <c r="E23" s="751">
        <f>+(15267194*0.3)*15</f>
        <v>68702373</v>
      </c>
    </row>
    <row r="24" spans="1:5" ht="24.75" customHeight="1">
      <c r="A24" s="752" t="s">
        <v>246</v>
      </c>
      <c r="B24" s="709"/>
      <c r="C24" s="709"/>
      <c r="D24" s="750">
        <v>82444500</v>
      </c>
      <c r="E24" s="751">
        <f>+(18321000*0.3)*15</f>
        <v>82444500</v>
      </c>
    </row>
    <row r="25" spans="1:5" ht="24" customHeight="1">
      <c r="A25" s="752" t="s">
        <v>247</v>
      </c>
      <c r="B25" s="709"/>
      <c r="C25" s="709"/>
      <c r="D25" s="750">
        <v>66622500</v>
      </c>
      <c r="E25" s="751">
        <f>+(14805000*0.3)*15</f>
        <v>66622500</v>
      </c>
    </row>
    <row r="26" spans="1:5" ht="24" customHeight="1">
      <c r="A26" s="752" t="s">
        <v>259</v>
      </c>
      <c r="B26" s="709"/>
      <c r="C26" s="709"/>
      <c r="D26" s="750">
        <v>73305000</v>
      </c>
      <c r="E26" s="751">
        <f>+(16290000*0.3)*15</f>
        <v>73305000</v>
      </c>
    </row>
    <row r="27" spans="1:5" ht="24" customHeight="1">
      <c r="A27" s="747" t="s">
        <v>276</v>
      </c>
      <c r="B27" s="748"/>
      <c r="C27" s="749"/>
      <c r="D27" s="745" t="s">
        <v>788</v>
      </c>
      <c r="E27" s="746"/>
    </row>
    <row r="28" spans="1:5" ht="21" customHeight="1">
      <c r="A28" s="747" t="s">
        <v>784</v>
      </c>
      <c r="B28" s="748"/>
      <c r="C28" s="749"/>
      <c r="D28" s="745" t="s">
        <v>789</v>
      </c>
      <c r="E28" s="746"/>
    </row>
    <row r="29" spans="1:5" ht="24.75" customHeight="1" thickBot="1">
      <c r="A29" s="741" t="s">
        <v>815</v>
      </c>
      <c r="B29" s="742"/>
      <c r="C29" s="742"/>
      <c r="D29" s="743" t="s">
        <v>822</v>
      </c>
      <c r="E29" s="744"/>
    </row>
    <row r="30" ht="13.5" thickTop="1"/>
  </sheetData>
  <mergeCells count="30">
    <mergeCell ref="A26:C26"/>
    <mergeCell ref="D26:E26"/>
    <mergeCell ref="A27:C27"/>
    <mergeCell ref="D27:E27"/>
    <mergeCell ref="A1:E1"/>
    <mergeCell ref="A11:E11"/>
    <mergeCell ref="C4:E4"/>
    <mergeCell ref="C5:E5"/>
    <mergeCell ref="C7:E7"/>
    <mergeCell ref="A8:E8"/>
    <mergeCell ref="A6:E6"/>
    <mergeCell ref="A3:E3"/>
    <mergeCell ref="A19:C19"/>
    <mergeCell ref="A20:C20"/>
    <mergeCell ref="A21:C21"/>
    <mergeCell ref="D23:E23"/>
    <mergeCell ref="D19:E19"/>
    <mergeCell ref="D20:E20"/>
    <mergeCell ref="D21:E21"/>
    <mergeCell ref="D24:E24"/>
    <mergeCell ref="D25:E25"/>
    <mergeCell ref="A22:C22"/>
    <mergeCell ref="A23:C23"/>
    <mergeCell ref="A24:C24"/>
    <mergeCell ref="A25:C25"/>
    <mergeCell ref="D22:E22"/>
    <mergeCell ref="A29:C29"/>
    <mergeCell ref="D29:E29"/>
    <mergeCell ref="D28:E28"/>
    <mergeCell ref="A28:C28"/>
  </mergeCells>
  <printOptions/>
  <pageMargins left="0.75" right="0.75" top="1" bottom="1" header="0.5" footer="0.5"/>
  <pageSetup horizontalDpi="300" verticalDpi="300" orientation="portrait"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39"/>
  </sheetPr>
  <dimension ref="A1:I34"/>
  <sheetViews>
    <sheetView showGridLines="0" workbookViewId="0" topLeftCell="A1">
      <selection activeCell="A2" sqref="A2:D2"/>
    </sheetView>
  </sheetViews>
  <sheetFormatPr defaultColWidth="9.00390625" defaultRowHeight="12.75"/>
  <cols>
    <col min="1" max="1" width="2.75390625" style="1" customWidth="1"/>
    <col min="2" max="2" width="17.125" style="1" customWidth="1"/>
    <col min="3" max="3" width="17.00390625" style="1" customWidth="1"/>
    <col min="4" max="4" width="44.00390625" style="1" customWidth="1"/>
    <col min="5" max="5" width="30.125" style="1" customWidth="1"/>
    <col min="6" max="6" width="23.625" style="1" customWidth="1"/>
    <col min="7" max="7" width="13.00390625" style="1" customWidth="1"/>
    <col min="8" max="8" width="12.875" style="1" customWidth="1"/>
    <col min="9" max="9" width="19.875" style="1" customWidth="1"/>
    <col min="10" max="16384" width="9.125" style="1" customWidth="1"/>
  </cols>
  <sheetData>
    <row r="1" spans="1:7" ht="17.25" customHeight="1">
      <c r="A1" s="729" t="s">
        <v>456</v>
      </c>
      <c r="B1" s="685"/>
      <c r="C1" s="685"/>
      <c r="D1" s="685"/>
      <c r="E1" s="685"/>
      <c r="F1" s="685"/>
      <c r="G1" s="685"/>
    </row>
    <row r="2" spans="1:5" ht="18" customHeight="1" thickBot="1">
      <c r="A2" s="666" t="s">
        <v>39</v>
      </c>
      <c r="B2" s="772"/>
      <c r="C2" s="772"/>
      <c r="D2" s="772"/>
      <c r="E2" s="1" t="s">
        <v>107</v>
      </c>
    </row>
    <row r="3" spans="1:7" ht="15.75" customHeight="1" thickTop="1">
      <c r="A3" s="773" t="s">
        <v>817</v>
      </c>
      <c r="B3" s="774"/>
      <c r="C3" s="774"/>
      <c r="D3" s="774"/>
      <c r="E3" s="774"/>
      <c r="F3" s="774"/>
      <c r="G3" s="775"/>
    </row>
    <row r="4" spans="1:8" ht="21" customHeight="1">
      <c r="A4" s="440"/>
      <c r="B4" s="441" t="s">
        <v>235</v>
      </c>
      <c r="C4" s="442">
        <v>585</v>
      </c>
      <c r="D4" s="443" t="s">
        <v>260</v>
      </c>
      <c r="E4" s="444"/>
      <c r="F4" s="444"/>
      <c r="G4" s="445"/>
      <c r="H4" s="42"/>
    </row>
    <row r="5" spans="1:7" ht="15.75" customHeight="1">
      <c r="A5" s="446" t="s">
        <v>202</v>
      </c>
      <c r="B5" s="447" t="s">
        <v>203</v>
      </c>
      <c r="C5" s="447"/>
      <c r="D5" s="447"/>
      <c r="E5" s="447"/>
      <c r="F5" s="448" t="s">
        <v>107</v>
      </c>
      <c r="G5" s="449" t="s">
        <v>107</v>
      </c>
    </row>
    <row r="6" spans="1:7" ht="15.75" customHeight="1">
      <c r="A6" s="450" t="s">
        <v>147</v>
      </c>
      <c r="B6" s="447" t="s">
        <v>222</v>
      </c>
      <c r="C6" s="447"/>
      <c r="D6" s="447"/>
      <c r="E6" s="447" t="s">
        <v>236</v>
      </c>
      <c r="F6" s="451">
        <f>+C4*3</f>
        <v>1755</v>
      </c>
      <c r="G6" s="449" t="s">
        <v>260</v>
      </c>
    </row>
    <row r="7" spans="1:7" ht="15.75" customHeight="1">
      <c r="A7" s="450" t="s">
        <v>147</v>
      </c>
      <c r="B7" s="447" t="s">
        <v>223</v>
      </c>
      <c r="C7" s="447"/>
      <c r="D7" s="447"/>
      <c r="E7" s="447" t="s">
        <v>237</v>
      </c>
      <c r="F7" s="451">
        <f>+C4*2</f>
        <v>1170</v>
      </c>
      <c r="G7" s="449" t="s">
        <v>260</v>
      </c>
    </row>
    <row r="8" spans="1:7" ht="15.75" customHeight="1">
      <c r="A8" s="450" t="s">
        <v>147</v>
      </c>
      <c r="B8" s="447" t="s">
        <v>224</v>
      </c>
      <c r="C8" s="447"/>
      <c r="D8" s="447"/>
      <c r="E8" s="447" t="s">
        <v>238</v>
      </c>
      <c r="F8" s="451">
        <f>+C4*1</f>
        <v>585</v>
      </c>
      <c r="G8" s="449" t="s">
        <v>260</v>
      </c>
    </row>
    <row r="9" spans="1:9" ht="15.75" customHeight="1">
      <c r="A9" s="446" t="s">
        <v>202</v>
      </c>
      <c r="B9" s="447" t="s">
        <v>204</v>
      </c>
      <c r="C9" s="447"/>
      <c r="D9" s="447"/>
      <c r="E9" s="447"/>
      <c r="F9" s="451" t="s">
        <v>107</v>
      </c>
      <c r="G9" s="449" t="s">
        <v>107</v>
      </c>
      <c r="H9" s="43"/>
      <c r="I9" s="44"/>
    </row>
    <row r="10" spans="1:9" ht="15.75" customHeight="1">
      <c r="A10" s="450" t="s">
        <v>147</v>
      </c>
      <c r="B10" s="447" t="s">
        <v>225</v>
      </c>
      <c r="C10" s="447"/>
      <c r="D10" s="447"/>
      <c r="E10" s="447" t="s">
        <v>238</v>
      </c>
      <c r="F10" s="451">
        <f>+C4*1</f>
        <v>585</v>
      </c>
      <c r="G10" s="449" t="s">
        <v>260</v>
      </c>
      <c r="H10" s="43"/>
      <c r="I10" s="44"/>
    </row>
    <row r="11" spans="1:9" ht="15.75" customHeight="1">
      <c r="A11" s="450" t="s">
        <v>147</v>
      </c>
      <c r="B11" s="447" t="s">
        <v>226</v>
      </c>
      <c r="C11" s="447"/>
      <c r="D11" s="447"/>
      <c r="E11" s="447" t="s">
        <v>237</v>
      </c>
      <c r="F11" s="451">
        <f>+C4*2</f>
        <v>1170</v>
      </c>
      <c r="G11" s="449" t="s">
        <v>260</v>
      </c>
      <c r="H11" s="43"/>
      <c r="I11" s="44"/>
    </row>
    <row r="12" spans="1:7" ht="15.75" customHeight="1">
      <c r="A12" s="446" t="s">
        <v>202</v>
      </c>
      <c r="B12" s="447" t="s">
        <v>205</v>
      </c>
      <c r="C12" s="447"/>
      <c r="D12" s="447"/>
      <c r="E12" s="447"/>
      <c r="F12" s="451" t="s">
        <v>107</v>
      </c>
      <c r="G12" s="449" t="s">
        <v>107</v>
      </c>
    </row>
    <row r="13" spans="1:7" ht="15.75" customHeight="1">
      <c r="A13" s="450" t="s">
        <v>147</v>
      </c>
      <c r="B13" s="447" t="s">
        <v>227</v>
      </c>
      <c r="C13" s="447"/>
      <c r="D13" s="447"/>
      <c r="E13" s="447" t="s">
        <v>239</v>
      </c>
      <c r="F13" s="451">
        <f>+C4/5</f>
        <v>117</v>
      </c>
      <c r="G13" s="449" t="s">
        <v>260</v>
      </c>
    </row>
    <row r="14" spans="1:7" ht="15.75" customHeight="1">
      <c r="A14" s="450" t="s">
        <v>147</v>
      </c>
      <c r="B14" s="447" t="s">
        <v>228</v>
      </c>
      <c r="C14" s="447"/>
      <c r="D14" s="447"/>
      <c r="E14" s="447" t="s">
        <v>240</v>
      </c>
      <c r="F14" s="451">
        <f>+C4/8</f>
        <v>73.125</v>
      </c>
      <c r="G14" s="449" t="s">
        <v>260</v>
      </c>
    </row>
    <row r="15" spans="1:7" ht="15.75" customHeight="1">
      <c r="A15" s="450" t="s">
        <v>147</v>
      </c>
      <c r="B15" s="447" t="s">
        <v>229</v>
      </c>
      <c r="C15" s="447"/>
      <c r="D15" s="447"/>
      <c r="E15" s="447" t="s">
        <v>236</v>
      </c>
      <c r="F15" s="451">
        <f>+C4*3</f>
        <v>1755</v>
      </c>
      <c r="G15" s="449" t="s">
        <v>260</v>
      </c>
    </row>
    <row r="16" spans="1:7" ht="15.75" customHeight="1">
      <c r="A16" s="450" t="s">
        <v>147</v>
      </c>
      <c r="B16" s="447" t="s">
        <v>256</v>
      </c>
      <c r="C16" s="447"/>
      <c r="D16" s="447"/>
      <c r="E16" s="447"/>
      <c r="F16" s="451"/>
      <c r="G16" s="449" t="s">
        <v>107</v>
      </c>
    </row>
    <row r="17" spans="1:7" ht="15.75" customHeight="1">
      <c r="A17" s="450" t="s">
        <v>107</v>
      </c>
      <c r="B17" s="447" t="s">
        <v>257</v>
      </c>
      <c r="C17" s="447"/>
      <c r="D17" s="447"/>
      <c r="E17" s="447"/>
      <c r="F17" s="451" t="s">
        <v>107</v>
      </c>
      <c r="G17" s="449"/>
    </row>
    <row r="18" spans="1:7" ht="15.75" customHeight="1">
      <c r="A18" s="450"/>
      <c r="B18" s="447" t="s">
        <v>250</v>
      </c>
      <c r="C18" s="447"/>
      <c r="D18" s="447"/>
      <c r="E18" s="447"/>
      <c r="F18" s="451"/>
      <c r="G18" s="449"/>
    </row>
    <row r="19" spans="1:7" ht="15.75" customHeight="1">
      <c r="A19" s="450"/>
      <c r="B19" s="447" t="s">
        <v>252</v>
      </c>
      <c r="C19" s="447"/>
      <c r="D19" s="447"/>
      <c r="E19" s="447"/>
      <c r="F19" s="451"/>
      <c r="G19" s="449"/>
    </row>
    <row r="20" spans="1:7" ht="15.75" customHeight="1">
      <c r="A20" s="450"/>
      <c r="B20" s="447" t="s">
        <v>251</v>
      </c>
      <c r="C20" s="447"/>
      <c r="D20" s="447"/>
      <c r="E20" s="447" t="s">
        <v>236</v>
      </c>
      <c r="F20" s="451">
        <f>+C4*3</f>
        <v>1755</v>
      </c>
      <c r="G20" s="449" t="s">
        <v>260</v>
      </c>
    </row>
    <row r="21" spans="1:7" ht="15.75" customHeight="1">
      <c r="A21" s="450" t="s">
        <v>147</v>
      </c>
      <c r="B21" s="447" t="s">
        <v>253</v>
      </c>
      <c r="C21" s="447"/>
      <c r="D21" s="447"/>
      <c r="E21" s="447"/>
      <c r="F21" s="451"/>
      <c r="G21" s="449" t="s">
        <v>107</v>
      </c>
    </row>
    <row r="22" spans="1:7" ht="15.75" customHeight="1">
      <c r="A22" s="450"/>
      <c r="B22" s="447" t="s">
        <v>254</v>
      </c>
      <c r="C22" s="447"/>
      <c r="D22" s="447"/>
      <c r="E22" s="447"/>
      <c r="F22" s="451"/>
      <c r="G22" s="449"/>
    </row>
    <row r="23" spans="1:7" ht="15.75" customHeight="1">
      <c r="A23" s="450"/>
      <c r="B23" s="447" t="s">
        <v>255</v>
      </c>
      <c r="C23" s="447"/>
      <c r="D23" s="447"/>
      <c r="E23" s="447" t="s">
        <v>236</v>
      </c>
      <c r="F23" s="451">
        <f>+C4*3</f>
        <v>1755</v>
      </c>
      <c r="G23" s="449" t="s">
        <v>260</v>
      </c>
    </row>
    <row r="24" spans="1:7" ht="15.75" customHeight="1">
      <c r="A24" s="446" t="s">
        <v>202</v>
      </c>
      <c r="B24" s="447" t="s">
        <v>230</v>
      </c>
      <c r="C24" s="447"/>
      <c r="D24" s="447"/>
      <c r="E24" s="447"/>
      <c r="F24" s="448" t="s">
        <v>107</v>
      </c>
      <c r="G24" s="449" t="s">
        <v>107</v>
      </c>
    </row>
    <row r="25" spans="1:7" ht="15.75" customHeight="1">
      <c r="A25" s="450" t="s">
        <v>147</v>
      </c>
      <c r="B25" s="768" t="s">
        <v>231</v>
      </c>
      <c r="C25" s="769"/>
      <c r="D25" s="769"/>
      <c r="E25" s="447" t="s">
        <v>241</v>
      </c>
      <c r="F25" s="451">
        <f>+C4*12</f>
        <v>7020</v>
      </c>
      <c r="G25" s="449" t="s">
        <v>260</v>
      </c>
    </row>
    <row r="26" spans="1:7" ht="15.75" customHeight="1">
      <c r="A26" s="450" t="s">
        <v>147</v>
      </c>
      <c r="B26" s="447" t="s">
        <v>232</v>
      </c>
      <c r="C26" s="447"/>
      <c r="D26" s="447"/>
      <c r="E26" s="447" t="s">
        <v>242</v>
      </c>
      <c r="F26" s="451">
        <f>+C4*6</f>
        <v>3510</v>
      </c>
      <c r="G26" s="449" t="s">
        <v>260</v>
      </c>
    </row>
    <row r="27" spans="1:9" ht="15.75" customHeight="1">
      <c r="A27" s="450" t="s">
        <v>147</v>
      </c>
      <c r="B27" s="447" t="s">
        <v>233</v>
      </c>
      <c r="C27" s="447"/>
      <c r="D27" s="447"/>
      <c r="E27" s="447" t="s">
        <v>236</v>
      </c>
      <c r="F27" s="451">
        <f>+C4*3</f>
        <v>1755</v>
      </c>
      <c r="G27" s="449" t="s">
        <v>260</v>
      </c>
      <c r="I27" s="45"/>
    </row>
    <row r="28" spans="1:9" ht="15.75" customHeight="1">
      <c r="A28" s="446" t="s">
        <v>202</v>
      </c>
      <c r="B28" s="770" t="s">
        <v>248</v>
      </c>
      <c r="C28" s="771"/>
      <c r="D28" s="771"/>
      <c r="E28" s="771"/>
      <c r="F28" s="771"/>
      <c r="G28" s="776"/>
      <c r="I28" s="45"/>
    </row>
    <row r="29" spans="1:9" ht="15.75" customHeight="1">
      <c r="A29" s="450" t="s">
        <v>147</v>
      </c>
      <c r="B29" s="768" t="s">
        <v>231</v>
      </c>
      <c r="C29" s="769"/>
      <c r="D29" s="769"/>
      <c r="E29" s="447" t="s">
        <v>249</v>
      </c>
      <c r="F29" s="451">
        <f>+C4*1/2</f>
        <v>292.5</v>
      </c>
      <c r="G29" s="449" t="s">
        <v>260</v>
      </c>
      <c r="I29" s="45"/>
    </row>
    <row r="30" spans="1:9" ht="15.75" customHeight="1">
      <c r="A30" s="450" t="s">
        <v>147</v>
      </c>
      <c r="B30" s="447" t="s">
        <v>232</v>
      </c>
      <c r="C30" s="447"/>
      <c r="D30" s="447"/>
      <c r="E30" s="447" t="s">
        <v>249</v>
      </c>
      <c r="F30" s="451">
        <f>+C4*1/2</f>
        <v>292.5</v>
      </c>
      <c r="G30" s="449" t="s">
        <v>260</v>
      </c>
      <c r="I30" s="45"/>
    </row>
    <row r="31" spans="1:9" ht="15.75" customHeight="1">
      <c r="A31" s="450" t="s">
        <v>147</v>
      </c>
      <c r="B31" s="447" t="s">
        <v>233</v>
      </c>
      <c r="C31" s="447"/>
      <c r="D31" s="447"/>
      <c r="E31" s="447" t="s">
        <v>249</v>
      </c>
      <c r="F31" s="451">
        <f>+C4*1/2</f>
        <v>292.5</v>
      </c>
      <c r="G31" s="449" t="s">
        <v>260</v>
      </c>
      <c r="I31" s="45"/>
    </row>
    <row r="32" spans="1:7" ht="29.25" customHeight="1">
      <c r="A32" s="446" t="s">
        <v>202</v>
      </c>
      <c r="B32" s="770" t="s">
        <v>234</v>
      </c>
      <c r="C32" s="771"/>
      <c r="D32" s="771"/>
      <c r="E32" s="447" t="s">
        <v>237</v>
      </c>
      <c r="F32" s="451">
        <f>+C4*2</f>
        <v>1170</v>
      </c>
      <c r="G32" s="449" t="s">
        <v>260</v>
      </c>
    </row>
    <row r="33" spans="1:7" ht="15.75" customHeight="1" thickBot="1">
      <c r="A33" s="452" t="s">
        <v>202</v>
      </c>
      <c r="B33" s="453" t="s">
        <v>206</v>
      </c>
      <c r="C33" s="453"/>
      <c r="D33" s="453"/>
      <c r="E33" s="453" t="s">
        <v>238</v>
      </c>
      <c r="F33" s="454">
        <f>+C4*1</f>
        <v>585</v>
      </c>
      <c r="G33" s="455" t="s">
        <v>260</v>
      </c>
    </row>
    <row r="34" spans="4:8" ht="13.5" thickTop="1">
      <c r="D34" s="34"/>
      <c r="E34" s="34"/>
      <c r="H34" s="34"/>
    </row>
  </sheetData>
  <mergeCells count="7">
    <mergeCell ref="B29:D29"/>
    <mergeCell ref="B32:D32"/>
    <mergeCell ref="A1:G1"/>
    <mergeCell ref="A2:D2"/>
    <mergeCell ref="A3:G3"/>
    <mergeCell ref="B25:D25"/>
    <mergeCell ref="B28:G28"/>
  </mergeCells>
  <printOptions/>
  <pageMargins left="0.75" right="0.75" top="1" bottom="1" header="0.5" footer="0.5"/>
  <pageSetup horizontalDpi="300" verticalDpi="300" orientation="landscape" paperSize="9" scale="83"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indexed="12"/>
  </sheetPr>
  <dimension ref="A1:G54"/>
  <sheetViews>
    <sheetView showGridLines="0" zoomScale="115" zoomScaleNormal="115" workbookViewId="0" topLeftCell="A44">
      <selection activeCell="C55" sqref="C55:C58"/>
    </sheetView>
  </sheetViews>
  <sheetFormatPr defaultColWidth="9.00390625" defaultRowHeight="12.75"/>
  <cols>
    <col min="1" max="1" width="22.875" style="5" customWidth="1"/>
    <col min="2" max="2" width="8.125" style="5" customWidth="1"/>
    <col min="3" max="3" width="12.75390625" style="5" customWidth="1"/>
    <col min="4" max="4" width="13.00390625" style="5" customWidth="1"/>
    <col min="5" max="5" width="18.00390625" style="5" customWidth="1"/>
    <col min="6" max="6" width="7.75390625" style="5" customWidth="1"/>
    <col min="7" max="7" width="13.75390625" style="5" customWidth="1"/>
    <col min="8" max="16384" width="9.125" style="5" customWidth="1"/>
  </cols>
  <sheetData>
    <row r="1" spans="1:7" ht="31.5" customHeight="1">
      <c r="A1" s="777" t="s">
        <v>457</v>
      </c>
      <c r="B1" s="778"/>
      <c r="C1" s="778"/>
      <c r="D1" s="778"/>
      <c r="E1" s="778"/>
      <c r="F1" s="778"/>
      <c r="G1" s="778"/>
    </row>
    <row r="2" spans="1:5" ht="15.75" customHeight="1" thickBot="1">
      <c r="A2" s="779" t="s">
        <v>40</v>
      </c>
      <c r="B2" s="780"/>
      <c r="C2" s="780"/>
      <c r="D2" s="780"/>
      <c r="E2" s="780"/>
    </row>
    <row r="3" spans="1:7" ht="19.5" customHeight="1" thickTop="1">
      <c r="A3" s="46" t="s">
        <v>178</v>
      </c>
      <c r="B3" s="47"/>
      <c r="C3" s="47" t="s">
        <v>179</v>
      </c>
      <c r="D3" s="47" t="s">
        <v>180</v>
      </c>
      <c r="E3" s="47" t="s">
        <v>178</v>
      </c>
      <c r="F3" s="47"/>
      <c r="G3" s="48" t="s">
        <v>264</v>
      </c>
    </row>
    <row r="4" spans="1:7" ht="21" customHeight="1">
      <c r="A4" s="58" t="s">
        <v>213</v>
      </c>
      <c r="B4" s="59"/>
      <c r="C4" s="60"/>
      <c r="D4" s="60"/>
      <c r="E4" s="61" t="s">
        <v>213</v>
      </c>
      <c r="F4" s="59"/>
      <c r="G4" s="62"/>
    </row>
    <row r="5" spans="1:7" ht="15" customHeight="1">
      <c r="A5" s="52"/>
      <c r="B5" s="57" t="s">
        <v>182</v>
      </c>
      <c r="C5" s="50">
        <v>3790000</v>
      </c>
      <c r="D5" s="50">
        <v>6070000</v>
      </c>
      <c r="E5" s="53"/>
      <c r="F5" s="57" t="s">
        <v>182</v>
      </c>
      <c r="G5" s="51">
        <v>3120000</v>
      </c>
    </row>
    <row r="6" spans="1:7" ht="15" customHeight="1">
      <c r="A6" s="54" t="s">
        <v>107</v>
      </c>
      <c r="B6" s="57" t="s">
        <v>183</v>
      </c>
      <c r="C6" s="50">
        <f>+C5*30</f>
        <v>113700000</v>
      </c>
      <c r="D6" s="50">
        <f>+D5*30</f>
        <v>182100000</v>
      </c>
      <c r="E6" s="55" t="s">
        <v>107</v>
      </c>
      <c r="F6" s="57" t="s">
        <v>183</v>
      </c>
      <c r="G6" s="51">
        <f>+G5*30</f>
        <v>93600000</v>
      </c>
    </row>
    <row r="7" spans="1:7" ht="16.5" customHeight="1">
      <c r="A7" s="63" t="s">
        <v>212</v>
      </c>
      <c r="B7" s="64"/>
      <c r="C7" s="60"/>
      <c r="D7" s="60"/>
      <c r="E7" s="59" t="s">
        <v>267</v>
      </c>
      <c r="F7" s="64"/>
      <c r="G7" s="62"/>
    </row>
    <row r="8" spans="1:7" ht="15" customHeight="1">
      <c r="A8" s="56"/>
      <c r="B8" s="57" t="s">
        <v>182</v>
      </c>
      <c r="C8" s="50">
        <v>4000000</v>
      </c>
      <c r="D8" s="50">
        <f>+C8*3</f>
        <v>12000000</v>
      </c>
      <c r="E8" s="49"/>
      <c r="F8" s="57" t="s">
        <v>182</v>
      </c>
      <c r="G8" s="51">
        <v>3660000</v>
      </c>
    </row>
    <row r="9" spans="1:7" ht="15" customHeight="1">
      <c r="A9" s="56"/>
      <c r="B9" s="57" t="s">
        <v>183</v>
      </c>
      <c r="C9" s="50">
        <f>+C8*30</f>
        <v>120000000</v>
      </c>
      <c r="D9" s="50">
        <f>+D8*30</f>
        <v>360000000</v>
      </c>
      <c r="E9" s="49"/>
      <c r="F9" s="57" t="s">
        <v>183</v>
      </c>
      <c r="G9" s="51">
        <f>+G8*30</f>
        <v>109800000</v>
      </c>
    </row>
    <row r="10" spans="1:7" ht="16.5" customHeight="1">
      <c r="A10" s="63" t="s">
        <v>219</v>
      </c>
      <c r="B10" s="64"/>
      <c r="C10" s="59"/>
      <c r="D10" s="59"/>
      <c r="E10" s="59" t="s">
        <v>265</v>
      </c>
      <c r="F10" s="64"/>
      <c r="G10" s="62"/>
    </row>
    <row r="11" spans="1:7" ht="15" customHeight="1">
      <c r="A11" s="56"/>
      <c r="B11" s="57" t="s">
        <v>182</v>
      </c>
      <c r="C11" s="50">
        <v>5000000</v>
      </c>
      <c r="D11" s="50">
        <f>+C11*3</f>
        <v>15000000</v>
      </c>
      <c r="E11" s="49"/>
      <c r="F11" s="57" t="s">
        <v>182</v>
      </c>
      <c r="G11" s="51">
        <v>3960000</v>
      </c>
    </row>
    <row r="12" spans="1:7" ht="15" customHeight="1">
      <c r="A12" s="56"/>
      <c r="B12" s="57" t="s">
        <v>183</v>
      </c>
      <c r="C12" s="50">
        <f>+C11*30</f>
        <v>150000000</v>
      </c>
      <c r="D12" s="50">
        <f>+D11*30</f>
        <v>450000000</v>
      </c>
      <c r="E12" s="49"/>
      <c r="F12" s="57" t="s">
        <v>183</v>
      </c>
      <c r="G12" s="51">
        <f>+G11*30</f>
        <v>118800000</v>
      </c>
    </row>
    <row r="13" spans="1:7" ht="16.5" customHeight="1">
      <c r="A13" s="63" t="s">
        <v>220</v>
      </c>
      <c r="B13" s="64"/>
      <c r="C13" s="59"/>
      <c r="D13" s="59"/>
      <c r="E13" s="59" t="s">
        <v>266</v>
      </c>
      <c r="F13" s="64"/>
      <c r="G13" s="62"/>
    </row>
    <row r="14" spans="1:7" ht="15" customHeight="1">
      <c r="A14" s="56"/>
      <c r="B14" s="57" t="s">
        <v>182</v>
      </c>
      <c r="C14" s="50">
        <v>5000000</v>
      </c>
      <c r="D14" s="50">
        <f>+C14*4</f>
        <v>20000000</v>
      </c>
      <c r="E14" s="49"/>
      <c r="F14" s="57" t="s">
        <v>182</v>
      </c>
      <c r="G14" s="51">
        <v>4665000</v>
      </c>
    </row>
    <row r="15" spans="1:7" ht="15" customHeight="1">
      <c r="A15" s="56"/>
      <c r="B15" s="57" t="s">
        <v>183</v>
      </c>
      <c r="C15" s="50">
        <f>+C14*30</f>
        <v>150000000</v>
      </c>
      <c r="D15" s="50">
        <f>+D14*30</f>
        <v>600000000</v>
      </c>
      <c r="E15" s="49"/>
      <c r="F15" s="57" t="s">
        <v>183</v>
      </c>
      <c r="G15" s="51">
        <f>+G14*30</f>
        <v>139950000</v>
      </c>
    </row>
    <row r="16" spans="1:7" ht="16.5" customHeight="1">
      <c r="A16" s="63" t="s">
        <v>181</v>
      </c>
      <c r="B16" s="64"/>
      <c r="C16" s="59"/>
      <c r="D16" s="59"/>
      <c r="E16" s="59" t="s">
        <v>268</v>
      </c>
      <c r="F16" s="64"/>
      <c r="G16" s="62"/>
    </row>
    <row r="17" spans="1:7" ht="15" customHeight="1">
      <c r="A17" s="56"/>
      <c r="B17" s="57" t="s">
        <v>182</v>
      </c>
      <c r="C17" s="50">
        <v>7000000</v>
      </c>
      <c r="D17" s="50">
        <v>35000000</v>
      </c>
      <c r="E17" s="49"/>
      <c r="F17" s="57" t="s">
        <v>182</v>
      </c>
      <c r="G17" s="51">
        <v>4898250</v>
      </c>
    </row>
    <row r="18" spans="1:7" ht="15" customHeight="1">
      <c r="A18" s="56"/>
      <c r="B18" s="57" t="s">
        <v>183</v>
      </c>
      <c r="C18" s="50">
        <v>210000000</v>
      </c>
      <c r="D18" s="50">
        <v>1050000000</v>
      </c>
      <c r="E18" s="49"/>
      <c r="F18" s="57" t="s">
        <v>183</v>
      </c>
      <c r="G18" s="51">
        <f>+G17*30</f>
        <v>146947500</v>
      </c>
    </row>
    <row r="19" spans="1:7" ht="16.5" customHeight="1">
      <c r="A19" s="63" t="s">
        <v>184</v>
      </c>
      <c r="B19" s="64"/>
      <c r="C19" s="60"/>
      <c r="D19" s="60"/>
      <c r="E19" s="59" t="s">
        <v>269</v>
      </c>
      <c r="F19" s="64"/>
      <c r="G19" s="62"/>
    </row>
    <row r="20" spans="1:7" ht="15" customHeight="1">
      <c r="A20" s="56"/>
      <c r="B20" s="57" t="s">
        <v>182</v>
      </c>
      <c r="C20" s="50">
        <v>9262400</v>
      </c>
      <c r="D20" s="50">
        <v>46312000</v>
      </c>
      <c r="E20" s="49"/>
      <c r="F20" s="57" t="s">
        <v>182</v>
      </c>
      <c r="G20" s="51">
        <v>5598000</v>
      </c>
    </row>
    <row r="21" spans="1:7" ht="15" customHeight="1">
      <c r="A21" s="56"/>
      <c r="B21" s="57" t="s">
        <v>183</v>
      </c>
      <c r="C21" s="50">
        <v>277872000</v>
      </c>
      <c r="D21" s="50">
        <v>1389360000</v>
      </c>
      <c r="E21" s="49"/>
      <c r="F21" s="57" t="s">
        <v>183</v>
      </c>
      <c r="G21" s="51">
        <f>+G20*30</f>
        <v>167940000</v>
      </c>
    </row>
    <row r="22" spans="1:7" ht="16.5" customHeight="1">
      <c r="A22" s="63" t="s">
        <v>185</v>
      </c>
      <c r="B22" s="64"/>
      <c r="C22" s="60"/>
      <c r="D22" s="60"/>
      <c r="E22" s="59" t="s">
        <v>270</v>
      </c>
      <c r="F22" s="64"/>
      <c r="G22" s="62"/>
    </row>
    <row r="23" spans="1:7" ht="15" customHeight="1">
      <c r="A23" s="56"/>
      <c r="B23" s="57" t="s">
        <v>182</v>
      </c>
      <c r="C23" s="50">
        <v>10919443</v>
      </c>
      <c r="D23" s="50">
        <v>54597215</v>
      </c>
      <c r="E23" s="49"/>
      <c r="F23" s="57" t="s">
        <v>182</v>
      </c>
      <c r="G23" s="51">
        <v>7400025</v>
      </c>
    </row>
    <row r="24" spans="1:7" ht="15" customHeight="1">
      <c r="A24" s="56"/>
      <c r="B24" s="57" t="s">
        <v>183</v>
      </c>
      <c r="C24" s="50">
        <v>327583290</v>
      </c>
      <c r="D24" s="50">
        <v>1637916450</v>
      </c>
      <c r="E24" s="49"/>
      <c r="F24" s="57" t="s">
        <v>183</v>
      </c>
      <c r="G24" s="51">
        <f>+G23*30</f>
        <v>222000750</v>
      </c>
    </row>
    <row r="25" spans="1:7" ht="16.5" customHeight="1">
      <c r="A25" s="63" t="s">
        <v>207</v>
      </c>
      <c r="B25" s="64"/>
      <c r="C25" s="60"/>
      <c r="D25" s="60"/>
      <c r="E25" s="59" t="s">
        <v>271</v>
      </c>
      <c r="F25" s="64"/>
      <c r="G25" s="62"/>
    </row>
    <row r="26" spans="1:7" ht="15" customHeight="1">
      <c r="A26" s="56"/>
      <c r="B26" s="57" t="s">
        <v>182</v>
      </c>
      <c r="C26" s="50">
        <v>13103332</v>
      </c>
      <c r="D26" s="50">
        <f>+C26*5</f>
        <v>65516660</v>
      </c>
      <c r="E26" s="49"/>
      <c r="F26" s="57" t="s">
        <v>182</v>
      </c>
      <c r="G26" s="51">
        <v>8362500</v>
      </c>
    </row>
    <row r="27" spans="1:7" ht="15" customHeight="1">
      <c r="A27" s="56"/>
      <c r="B27" s="57" t="s">
        <v>183</v>
      </c>
      <c r="C27" s="50">
        <f>+C26*30</f>
        <v>393099960</v>
      </c>
      <c r="D27" s="50">
        <f>+D26*30</f>
        <v>1965499800</v>
      </c>
      <c r="E27" s="49"/>
      <c r="F27" s="57" t="s">
        <v>183</v>
      </c>
      <c r="G27" s="51">
        <f>+G26*30</f>
        <v>250875000</v>
      </c>
    </row>
    <row r="28" spans="1:7" ht="16.5" customHeight="1">
      <c r="A28" s="63" t="s">
        <v>243</v>
      </c>
      <c r="B28" s="64"/>
      <c r="C28" s="60"/>
      <c r="D28" s="60"/>
      <c r="E28" s="59" t="s">
        <v>272</v>
      </c>
      <c r="F28" s="64"/>
      <c r="G28" s="62"/>
    </row>
    <row r="29" spans="1:7" ht="15" customHeight="1">
      <c r="A29" s="56"/>
      <c r="B29" s="57" t="s">
        <v>182</v>
      </c>
      <c r="C29" s="50">
        <v>15267194</v>
      </c>
      <c r="D29" s="50">
        <f>+C29*5</f>
        <v>76335970</v>
      </c>
      <c r="E29" s="49"/>
      <c r="F29" s="57" t="s">
        <v>182</v>
      </c>
      <c r="G29" s="51">
        <v>10200000</v>
      </c>
    </row>
    <row r="30" spans="1:7" ht="15" customHeight="1">
      <c r="A30" s="56"/>
      <c r="B30" s="57" t="s">
        <v>183</v>
      </c>
      <c r="C30" s="50">
        <f>+C29*30</f>
        <v>458015820</v>
      </c>
      <c r="D30" s="50">
        <f>+D29*30</f>
        <v>2290079100</v>
      </c>
      <c r="E30" s="49"/>
      <c r="F30" s="57" t="s">
        <v>183</v>
      </c>
      <c r="G30" s="51">
        <f>+G29*30</f>
        <v>306000000</v>
      </c>
    </row>
    <row r="31" spans="1:7" ht="16.5" customHeight="1">
      <c r="A31" s="63" t="s">
        <v>246</v>
      </c>
      <c r="B31" s="64"/>
      <c r="C31" s="60"/>
      <c r="D31" s="60"/>
      <c r="E31" s="59" t="s">
        <v>246</v>
      </c>
      <c r="F31" s="64"/>
      <c r="G31" s="62"/>
    </row>
    <row r="32" spans="1:7" ht="15" customHeight="1">
      <c r="A32" s="56"/>
      <c r="B32" s="57" t="s">
        <v>182</v>
      </c>
      <c r="C32" s="50">
        <v>18321000</v>
      </c>
      <c r="D32" s="50">
        <f>+C32*5</f>
        <v>91605000</v>
      </c>
      <c r="E32" s="49"/>
      <c r="F32" s="57" t="s">
        <v>182</v>
      </c>
      <c r="G32" s="51">
        <v>14100000</v>
      </c>
    </row>
    <row r="33" spans="1:7" ht="15" customHeight="1">
      <c r="A33" s="56"/>
      <c r="B33" s="57" t="s">
        <v>183</v>
      </c>
      <c r="C33" s="50">
        <f>+C32*30</f>
        <v>549630000</v>
      </c>
      <c r="D33" s="50">
        <f>+D32*30</f>
        <v>2748150000</v>
      </c>
      <c r="E33" s="49"/>
      <c r="F33" s="57" t="s">
        <v>183</v>
      </c>
      <c r="G33" s="51">
        <f>+G32*30</f>
        <v>423000000</v>
      </c>
    </row>
    <row r="34" spans="1:7" ht="16.5" customHeight="1">
      <c r="A34" s="63" t="s">
        <v>247</v>
      </c>
      <c r="B34" s="64"/>
      <c r="C34" s="60"/>
      <c r="D34" s="60"/>
      <c r="E34" s="59" t="s">
        <v>247</v>
      </c>
      <c r="F34" s="64"/>
      <c r="G34" s="62"/>
    </row>
    <row r="35" spans="1:7" ht="15" customHeight="1">
      <c r="A35" s="56"/>
      <c r="B35" s="57" t="s">
        <v>182</v>
      </c>
      <c r="C35" s="50">
        <v>14805000</v>
      </c>
      <c r="D35" s="50">
        <f>+C35*6.5</f>
        <v>96232500</v>
      </c>
      <c r="E35" s="49"/>
      <c r="F35" s="57" t="s">
        <v>182</v>
      </c>
      <c r="G35" s="51">
        <v>14805000</v>
      </c>
    </row>
    <row r="36" spans="1:7" ht="15" customHeight="1">
      <c r="A36" s="56"/>
      <c r="B36" s="57" t="s">
        <v>183</v>
      </c>
      <c r="C36" s="50">
        <f>+C35*30</f>
        <v>444150000</v>
      </c>
      <c r="D36" s="50">
        <f>+D35*30</f>
        <v>2886975000</v>
      </c>
      <c r="E36" s="49"/>
      <c r="F36" s="57" t="s">
        <v>183</v>
      </c>
      <c r="G36" s="51">
        <f>+G35*30</f>
        <v>444150000</v>
      </c>
    </row>
    <row r="37" spans="1:7" ht="15.75" customHeight="1">
      <c r="A37" s="63" t="s">
        <v>259</v>
      </c>
      <c r="B37" s="64"/>
      <c r="C37" s="60"/>
      <c r="D37" s="60"/>
      <c r="E37" s="59" t="s">
        <v>259</v>
      </c>
      <c r="F37" s="64"/>
      <c r="G37" s="62"/>
    </row>
    <row r="38" spans="1:7" ht="18.75" customHeight="1">
      <c r="A38" s="56"/>
      <c r="B38" s="57" t="s">
        <v>182</v>
      </c>
      <c r="C38" s="50">
        <v>16290000</v>
      </c>
      <c r="D38" s="50">
        <f>+C38*6.5+5000</f>
        <v>105890000</v>
      </c>
      <c r="E38" s="49"/>
      <c r="F38" s="57" t="s">
        <v>182</v>
      </c>
      <c r="G38" s="51">
        <v>16290000</v>
      </c>
    </row>
    <row r="39" spans="1:7" ht="22.5" customHeight="1">
      <c r="A39" s="56"/>
      <c r="B39" s="57"/>
      <c r="C39" s="50" t="s">
        <v>261</v>
      </c>
      <c r="D39" s="50" t="s">
        <v>262</v>
      </c>
      <c r="E39" s="49"/>
      <c r="F39" s="57" t="s">
        <v>183</v>
      </c>
      <c r="G39" s="51">
        <f>+G38*30</f>
        <v>488700000</v>
      </c>
    </row>
    <row r="40" spans="1:7" ht="15" customHeight="1">
      <c r="A40" s="56"/>
      <c r="B40" s="57" t="s">
        <v>183</v>
      </c>
      <c r="C40" s="50">
        <f>+C38*30</f>
        <v>488700000</v>
      </c>
      <c r="D40" s="50">
        <f>+D38*30</f>
        <v>3176700000</v>
      </c>
      <c r="E40" s="49"/>
      <c r="F40" s="57"/>
      <c r="G40" s="51"/>
    </row>
    <row r="41" spans="1:7" ht="22.5" customHeight="1">
      <c r="A41" s="56"/>
      <c r="B41" s="57"/>
      <c r="C41" s="50" t="s">
        <v>258</v>
      </c>
      <c r="D41" s="50" t="s">
        <v>263</v>
      </c>
      <c r="E41" s="49"/>
      <c r="F41" s="57"/>
      <c r="G41" s="51"/>
    </row>
    <row r="42" spans="1:7" ht="13.5" customHeight="1">
      <c r="A42" s="63" t="s">
        <v>276</v>
      </c>
      <c r="B42" s="64"/>
      <c r="C42" s="60"/>
      <c r="D42" s="60"/>
      <c r="E42" s="59" t="s">
        <v>276</v>
      </c>
      <c r="F42" s="64"/>
      <c r="G42" s="62"/>
    </row>
    <row r="43" spans="1:7" ht="19.5" customHeight="1">
      <c r="A43" s="781"/>
      <c r="B43" s="57" t="s">
        <v>182</v>
      </c>
      <c r="C43" s="50" t="s">
        <v>778</v>
      </c>
      <c r="D43" s="50" t="s">
        <v>780</v>
      </c>
      <c r="E43" s="49"/>
      <c r="F43" s="57" t="s">
        <v>182</v>
      </c>
      <c r="G43" s="51" t="s">
        <v>778</v>
      </c>
    </row>
    <row r="44" spans="1:7" ht="21.75" customHeight="1">
      <c r="A44" s="782"/>
      <c r="B44" s="57" t="s">
        <v>183</v>
      </c>
      <c r="C44" s="50" t="s">
        <v>779</v>
      </c>
      <c r="D44" s="50" t="s">
        <v>781</v>
      </c>
      <c r="E44" s="49"/>
      <c r="F44" s="57" t="s">
        <v>183</v>
      </c>
      <c r="G44" s="51" t="s">
        <v>779</v>
      </c>
    </row>
    <row r="45" spans="1:7" ht="13.5" customHeight="1">
      <c r="A45" s="63" t="s">
        <v>784</v>
      </c>
      <c r="B45" s="64"/>
      <c r="C45" s="60"/>
      <c r="D45" s="60"/>
      <c r="E45" s="59" t="s">
        <v>784</v>
      </c>
      <c r="F45" s="64"/>
      <c r="G45" s="62"/>
    </row>
    <row r="46" spans="1:7" ht="19.5" customHeight="1">
      <c r="A46" s="251"/>
      <c r="B46" s="57" t="s">
        <v>182</v>
      </c>
      <c r="C46" s="253" t="s">
        <v>782</v>
      </c>
      <c r="D46" s="253" t="s">
        <v>783</v>
      </c>
      <c r="E46" s="49"/>
      <c r="F46" s="57" t="s">
        <v>182</v>
      </c>
      <c r="G46" s="603" t="str">
        <f>+C46</f>
        <v>18,75 YTL.</v>
      </c>
    </row>
    <row r="47" spans="1:7" ht="21.75" customHeight="1">
      <c r="A47" s="251"/>
      <c r="B47" s="57" t="s">
        <v>183</v>
      </c>
      <c r="C47" s="253" t="s">
        <v>790</v>
      </c>
      <c r="D47" s="253" t="s">
        <v>785</v>
      </c>
      <c r="E47" s="253"/>
      <c r="F47" s="57" t="s">
        <v>183</v>
      </c>
      <c r="G47" s="257" t="s">
        <v>790</v>
      </c>
    </row>
    <row r="48" spans="1:7" ht="15.75" customHeight="1">
      <c r="A48" s="63" t="s">
        <v>815</v>
      </c>
      <c r="B48" s="64"/>
      <c r="C48" s="60"/>
      <c r="D48" s="60"/>
      <c r="E48" s="59" t="s">
        <v>815</v>
      </c>
      <c r="F48" s="64"/>
      <c r="G48" s="62"/>
    </row>
    <row r="49" spans="1:7" ht="21.75" customHeight="1">
      <c r="A49" s="251"/>
      <c r="B49" s="57" t="s">
        <v>182</v>
      </c>
      <c r="C49" s="253" t="s">
        <v>818</v>
      </c>
      <c r="D49" s="253" t="s">
        <v>820</v>
      </c>
      <c r="E49" s="49"/>
      <c r="F49" s="57" t="s">
        <v>182</v>
      </c>
      <c r="G49" s="603" t="str">
        <f>+C49</f>
        <v>19,5 YTL.</v>
      </c>
    </row>
    <row r="50" spans="1:7" ht="21.75" customHeight="1">
      <c r="A50" s="251"/>
      <c r="B50" s="57" t="s">
        <v>183</v>
      </c>
      <c r="C50" s="253" t="s">
        <v>819</v>
      </c>
      <c r="D50" s="253" t="s">
        <v>821</v>
      </c>
      <c r="E50" s="253"/>
      <c r="F50" s="57" t="s">
        <v>183</v>
      </c>
      <c r="G50" s="257" t="str">
        <f>+C50</f>
        <v>585.00YTL.</v>
      </c>
    </row>
    <row r="51" spans="1:7" ht="6.75" customHeight="1" thickBot="1">
      <c r="A51" s="254"/>
      <c r="B51" s="254"/>
      <c r="C51" s="249"/>
      <c r="D51" s="249"/>
      <c r="E51" s="249"/>
      <c r="F51" s="254"/>
      <c r="G51" s="250"/>
    </row>
    <row r="52" ht="13.5" customHeight="1" thickTop="1"/>
    <row r="53" ht="13.5" customHeight="1"/>
    <row r="54" ht="13.5" customHeight="1">
      <c r="C54" s="604"/>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mergeCells count="3">
    <mergeCell ref="A1:G1"/>
    <mergeCell ref="A2:E2"/>
    <mergeCell ref="A43:A44"/>
  </mergeCells>
  <printOptions/>
  <pageMargins left="0.7480314960629921" right="0.7480314960629921" top="0.1968503937007874" bottom="0.984251968503937" header="0.5118110236220472" footer="0.5118110236220472"/>
  <pageSetup horizontalDpi="300" verticalDpi="300" orientation="portrait" paperSize="9" scale="9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indexed="12"/>
  </sheetPr>
  <dimension ref="A1:M53"/>
  <sheetViews>
    <sheetView showGridLines="0" workbookViewId="0" topLeftCell="C46">
      <selection activeCell="N54" sqref="N54"/>
    </sheetView>
  </sheetViews>
  <sheetFormatPr defaultColWidth="9.00390625" defaultRowHeight="12.75"/>
  <cols>
    <col min="1" max="1" width="19.375" style="13" customWidth="1"/>
    <col min="2" max="2" width="9.25390625" style="13" customWidth="1"/>
    <col min="3" max="3" width="5.75390625" style="13" customWidth="1"/>
    <col min="4" max="5" width="8.875" style="13" customWidth="1"/>
    <col min="6" max="6" width="8.75390625" style="13" customWidth="1"/>
    <col min="7" max="7" width="8.375" style="13" customWidth="1"/>
    <col min="8" max="8" width="11.25390625" style="13" customWidth="1"/>
    <col min="9" max="9" width="9.875" style="13" customWidth="1"/>
    <col min="10" max="10" width="10.375" style="13" customWidth="1"/>
    <col min="11" max="11" width="8.875" style="13" customWidth="1"/>
    <col min="12" max="12" width="9.25390625" style="13" customWidth="1"/>
    <col min="13" max="16384" width="9.125" style="13" customWidth="1"/>
  </cols>
  <sheetData>
    <row r="1" spans="1:11" s="66" customFormat="1" ht="29.25" customHeight="1">
      <c r="A1" s="729" t="s">
        <v>458</v>
      </c>
      <c r="B1" s="783"/>
      <c r="C1" s="783"/>
      <c r="D1" s="783"/>
      <c r="E1" s="783"/>
      <c r="F1" s="783"/>
      <c r="G1" s="783"/>
      <c r="H1" s="783"/>
      <c r="I1" s="783"/>
      <c r="J1" s="783"/>
      <c r="K1" s="783"/>
    </row>
    <row r="2" ht="16.5" thickBot="1">
      <c r="A2" s="15" t="s">
        <v>41</v>
      </c>
    </row>
    <row r="3" spans="1:11" s="3" customFormat="1" ht="57" customHeight="1" thickTop="1">
      <c r="A3" s="456" t="s">
        <v>186</v>
      </c>
      <c r="B3" s="457">
        <v>2003</v>
      </c>
      <c r="C3" s="458" t="s">
        <v>244</v>
      </c>
      <c r="D3" s="457">
        <v>2004</v>
      </c>
      <c r="E3" s="458" t="s">
        <v>244</v>
      </c>
      <c r="F3" s="457">
        <v>2005</v>
      </c>
      <c r="G3" s="458" t="s">
        <v>244</v>
      </c>
      <c r="H3" s="363">
        <v>2006</v>
      </c>
      <c r="I3" s="458" t="s">
        <v>244</v>
      </c>
      <c r="J3" s="458" t="s">
        <v>9</v>
      </c>
      <c r="K3" s="459" t="s">
        <v>244</v>
      </c>
    </row>
    <row r="4" spans="1:11" s="3" customFormat="1" ht="15">
      <c r="A4" s="460" t="s">
        <v>273</v>
      </c>
      <c r="B4" s="461">
        <v>62709</v>
      </c>
      <c r="C4" s="462">
        <f>+B4/$D$9*100</f>
        <v>1.5217432452304926</v>
      </c>
      <c r="D4" s="461">
        <v>63071</v>
      </c>
      <c r="E4" s="462">
        <f>+(D4/$F$9)*100</f>
        <v>1.4639804316712417</v>
      </c>
      <c r="F4" s="461">
        <v>62700</v>
      </c>
      <c r="G4" s="462">
        <f>+(F4/$H$9)*100</f>
        <v>1.3900278471128988</v>
      </c>
      <c r="H4" s="463">
        <v>63861</v>
      </c>
      <c r="I4" s="462">
        <f>+(H4/$H$9)*100</f>
        <v>1.4157666402627884</v>
      </c>
      <c r="J4" s="463">
        <f>+'25'!C96</f>
        <v>64515</v>
      </c>
      <c r="K4" s="464">
        <f>+(J4/$J$9)*100</f>
        <v>1.3882851670934562</v>
      </c>
    </row>
    <row r="5" spans="1:11" s="3" customFormat="1" ht="15">
      <c r="A5" s="460" t="s">
        <v>274</v>
      </c>
      <c r="B5" s="461">
        <v>2694834</v>
      </c>
      <c r="C5" s="462">
        <f>+B5/$D$9*100</f>
        <v>65.39484661719163</v>
      </c>
      <c r="D5" s="461">
        <v>2838422</v>
      </c>
      <c r="E5" s="462">
        <f>+(D5/$F$9)*100</f>
        <v>65.8843884641935</v>
      </c>
      <c r="F5" s="461">
        <v>2988054</v>
      </c>
      <c r="G5" s="462">
        <f>+(F5/$H$9)*100</f>
        <v>66.24367254668398</v>
      </c>
      <c r="H5" s="463">
        <v>3151374</v>
      </c>
      <c r="I5" s="462">
        <f>+(H5/$H$9)*100</f>
        <v>69.86439580012065</v>
      </c>
      <c r="J5" s="463">
        <f>+'25'!D96</f>
        <v>3234422</v>
      </c>
      <c r="K5" s="464">
        <f>+(J5/$J$9)*100</f>
        <v>69.60086935938541</v>
      </c>
    </row>
    <row r="6" spans="1:11" s="3" customFormat="1" ht="15">
      <c r="A6" s="460" t="s">
        <v>188</v>
      </c>
      <c r="B6" s="461">
        <v>1051052</v>
      </c>
      <c r="C6" s="462">
        <f>+B6/$D$9*100</f>
        <v>25.505609743194757</v>
      </c>
      <c r="D6" s="461">
        <v>1091904</v>
      </c>
      <c r="E6" s="462">
        <f>+(D6/$F$9)*100</f>
        <v>25.34486672580989</v>
      </c>
      <c r="F6" s="461">
        <v>1130420</v>
      </c>
      <c r="G6" s="462">
        <f>+(F6/$H$9)*100</f>
        <v>25.0608497437538</v>
      </c>
      <c r="H6" s="463">
        <v>1167234</v>
      </c>
      <c r="I6" s="462">
        <f>+(H6/$H$9)*100</f>
        <v>25.87699783248768</v>
      </c>
      <c r="J6" s="463">
        <f>+'25'!E96</f>
        <v>1219465</v>
      </c>
      <c r="K6" s="464">
        <f>+(J6/$J$9)*100</f>
        <v>26.24141937982828</v>
      </c>
    </row>
    <row r="7" spans="1:11" s="3" customFormat="1" ht="15">
      <c r="A7" s="460" t="s">
        <v>211</v>
      </c>
      <c r="B7" s="461">
        <v>51959</v>
      </c>
      <c r="C7" s="462">
        <f>+B7/$D$9*100</f>
        <v>1.2608757479617148</v>
      </c>
      <c r="D7" s="461">
        <v>53063</v>
      </c>
      <c r="E7" s="462">
        <f>+(D7/$F$9)*100</f>
        <v>1.2316784837052068</v>
      </c>
      <c r="F7" s="461">
        <v>53584</v>
      </c>
      <c r="G7" s="462">
        <f>+(F7/$H$9)*100</f>
        <v>1.1879306564545067</v>
      </c>
      <c r="H7" s="463">
        <v>54857</v>
      </c>
      <c r="I7" s="462">
        <f>+(H7/$H$9)*100</f>
        <v>1.216152433956496</v>
      </c>
      <c r="J7" s="463">
        <f>+'25'!F96</f>
        <v>55611</v>
      </c>
      <c r="K7" s="464">
        <f>+(J7/$J$9)*100</f>
        <v>1.196681801553657</v>
      </c>
    </row>
    <row r="8" spans="1:11" s="3" customFormat="1" ht="24" customHeight="1">
      <c r="A8" s="436" t="s">
        <v>190</v>
      </c>
      <c r="B8" s="461">
        <v>74969</v>
      </c>
      <c r="C8" s="462">
        <f>+B8/$D$9*100</f>
        <v>1.8192535258365596</v>
      </c>
      <c r="D8" s="461">
        <v>74406</v>
      </c>
      <c r="E8" s="462">
        <f>+(D8/$F$9)*100</f>
        <v>1.7270842066707426</v>
      </c>
      <c r="F8" s="461">
        <v>73428</v>
      </c>
      <c r="G8" s="462">
        <f>+(F8/$H$9)*100</f>
        <v>1.62786227683901</v>
      </c>
      <c r="H8" s="463">
        <v>73375</v>
      </c>
      <c r="I8" s="462">
        <f>+(H8/$H$9)*100</f>
        <v>1.6266872931723915</v>
      </c>
      <c r="J8" s="463">
        <f>+'25'!G96</f>
        <v>73087</v>
      </c>
      <c r="K8" s="464">
        <f>+(J8/$J$9)*100</f>
        <v>1.5727442921391837</v>
      </c>
    </row>
    <row r="9" spans="1:11" s="3" customFormat="1" ht="15.75" thickBot="1">
      <c r="A9" s="465" t="s">
        <v>86</v>
      </c>
      <c r="B9" s="466">
        <f>SUM(B4:B8)</f>
        <v>3935523</v>
      </c>
      <c r="C9" s="467">
        <f>+B9/$B$9*100</f>
        <v>100</v>
      </c>
      <c r="D9" s="466">
        <f>SUM(D4:D8)</f>
        <v>4120866</v>
      </c>
      <c r="E9" s="467">
        <f>+D9/$D$9*100</f>
        <v>100</v>
      </c>
      <c r="F9" s="466">
        <f>SUM(F4:F8)</f>
        <v>4308186</v>
      </c>
      <c r="G9" s="467">
        <f>+F9/$F$9*100</f>
        <v>100</v>
      </c>
      <c r="H9" s="466">
        <f>SUM(H4:H8)</f>
        <v>4510701</v>
      </c>
      <c r="I9" s="467">
        <f>+H9/$H$9*100</f>
        <v>100</v>
      </c>
      <c r="J9" s="468">
        <f>SUM(J4:J8)</f>
        <v>4647100</v>
      </c>
      <c r="K9" s="469">
        <f>SUM(K4:K8)</f>
        <v>99.99999999999997</v>
      </c>
    </row>
    <row r="10" ht="16.5" thickTop="1"/>
    <row r="29" spans="1:11" ht="18" customHeight="1">
      <c r="A29" s="784" t="s">
        <v>201</v>
      </c>
      <c r="B29" s="685"/>
      <c r="C29" s="685"/>
      <c r="D29" s="685"/>
      <c r="E29" s="685"/>
      <c r="F29" s="685"/>
      <c r="G29" s="685"/>
      <c r="H29" s="685"/>
      <c r="I29" s="685"/>
      <c r="J29" s="685"/>
      <c r="K29" s="685"/>
    </row>
    <row r="30" ht="19.5" customHeight="1" thickBot="1">
      <c r="A30" s="15" t="s">
        <v>42</v>
      </c>
    </row>
    <row r="31" spans="1:13" ht="28.5" customHeight="1" thickTop="1">
      <c r="A31" s="789" t="s">
        <v>186</v>
      </c>
      <c r="B31" s="790"/>
      <c r="C31" s="790"/>
      <c r="D31" s="306">
        <v>2003</v>
      </c>
      <c r="E31" s="306">
        <v>2004</v>
      </c>
      <c r="F31" s="306">
        <v>2005</v>
      </c>
      <c r="G31" s="306">
        <v>2006</v>
      </c>
      <c r="H31" s="528" t="s">
        <v>14</v>
      </c>
      <c r="I31" s="581" t="s">
        <v>15</v>
      </c>
      <c r="J31" s="583" t="s">
        <v>16</v>
      </c>
      <c r="K31" s="583" t="s">
        <v>12</v>
      </c>
      <c r="L31" s="583" t="s">
        <v>22</v>
      </c>
      <c r="M31" s="579" t="s">
        <v>6</v>
      </c>
    </row>
    <row r="32" spans="1:13" ht="15.75">
      <c r="A32" s="785" t="s">
        <v>189</v>
      </c>
      <c r="B32" s="786"/>
      <c r="C32" s="786"/>
      <c r="D32" s="308">
        <v>4385</v>
      </c>
      <c r="E32" s="308">
        <v>3987</v>
      </c>
      <c r="F32" s="308">
        <v>3715</v>
      </c>
      <c r="G32" s="527">
        <v>4591</v>
      </c>
      <c r="H32" s="527">
        <v>405</v>
      </c>
      <c r="I32" s="308">
        <v>410</v>
      </c>
      <c r="J32" s="582">
        <v>441</v>
      </c>
      <c r="K32" s="308">
        <v>456</v>
      </c>
      <c r="L32" s="308">
        <v>451</v>
      </c>
      <c r="M32" s="531">
        <v>457</v>
      </c>
    </row>
    <row r="33" spans="1:13" ht="15.75">
      <c r="A33" s="785" t="s">
        <v>187</v>
      </c>
      <c r="B33" s="786"/>
      <c r="C33" s="786"/>
      <c r="D33" s="308">
        <v>177792</v>
      </c>
      <c r="E33" s="308">
        <v>169913</v>
      </c>
      <c r="F33" s="308">
        <v>201696</v>
      </c>
      <c r="G33" s="527">
        <v>213379</v>
      </c>
      <c r="H33" s="527">
        <v>17261</v>
      </c>
      <c r="I33" s="308">
        <v>18224</v>
      </c>
      <c r="J33" s="308">
        <v>20570</v>
      </c>
      <c r="K33" s="308">
        <v>16997</v>
      </c>
      <c r="L33" s="308">
        <v>18865</v>
      </c>
      <c r="M33" s="531">
        <v>16784</v>
      </c>
    </row>
    <row r="34" spans="1:13" ht="15.75">
      <c r="A34" s="785" t="s">
        <v>79</v>
      </c>
      <c r="B34" s="786"/>
      <c r="C34" s="786"/>
      <c r="D34" s="308">
        <v>92065</v>
      </c>
      <c r="E34" s="308">
        <v>80992</v>
      </c>
      <c r="F34" s="308">
        <v>95622</v>
      </c>
      <c r="G34" s="527">
        <v>99731</v>
      </c>
      <c r="H34" s="527">
        <v>9703</v>
      </c>
      <c r="I34" s="308">
        <v>13763</v>
      </c>
      <c r="J34" s="308">
        <v>15430</v>
      </c>
      <c r="K34" s="308">
        <v>14330</v>
      </c>
      <c r="L34" s="308">
        <v>16489</v>
      </c>
      <c r="M34" s="531">
        <v>14364</v>
      </c>
    </row>
    <row r="35" spans="1:13" ht="15.75" customHeight="1">
      <c r="A35" s="785" t="s">
        <v>211</v>
      </c>
      <c r="B35" s="786"/>
      <c r="C35" s="786"/>
      <c r="D35" s="308">
        <v>1596</v>
      </c>
      <c r="E35" s="308">
        <v>1693</v>
      </c>
      <c r="F35" s="308">
        <v>1639</v>
      </c>
      <c r="G35" s="527">
        <v>2267</v>
      </c>
      <c r="H35" s="527">
        <v>142</v>
      </c>
      <c r="I35" s="308">
        <v>219</v>
      </c>
      <c r="J35" s="308">
        <v>227</v>
      </c>
      <c r="K35" s="308">
        <v>208</v>
      </c>
      <c r="L35" s="308">
        <v>158</v>
      </c>
      <c r="M35" s="531">
        <v>188</v>
      </c>
    </row>
    <row r="36" spans="1:13" ht="36.75" customHeight="1">
      <c r="A36" s="785" t="s">
        <v>80</v>
      </c>
      <c r="B36" s="786"/>
      <c r="C36" s="786"/>
      <c r="D36" s="308">
        <v>3000</v>
      </c>
      <c r="E36" s="308">
        <v>3087</v>
      </c>
      <c r="F36" s="308">
        <v>3736</v>
      </c>
      <c r="G36" s="527">
        <v>3837</v>
      </c>
      <c r="H36" s="527">
        <v>261</v>
      </c>
      <c r="I36" s="308">
        <v>449</v>
      </c>
      <c r="J36" s="308">
        <v>313</v>
      </c>
      <c r="K36" s="308">
        <v>326</v>
      </c>
      <c r="L36" s="308">
        <v>330</v>
      </c>
      <c r="M36" s="531">
        <v>321</v>
      </c>
    </row>
    <row r="37" spans="1:13" ht="23.25" customHeight="1" thickBot="1">
      <c r="A37" s="787" t="s">
        <v>86</v>
      </c>
      <c r="B37" s="788"/>
      <c r="C37" s="788"/>
      <c r="D37" s="309">
        <v>278838</v>
      </c>
      <c r="E37" s="309">
        <v>259672</v>
      </c>
      <c r="F37" s="309">
        <v>306408</v>
      </c>
      <c r="G37" s="309">
        <v>323805</v>
      </c>
      <c r="H37" s="526">
        <v>28033</v>
      </c>
      <c r="I37" s="526">
        <v>27772</v>
      </c>
      <c r="J37" s="526">
        <v>33065</v>
      </c>
      <c r="K37" s="526">
        <f>SUM(K32:K36)</f>
        <v>32317</v>
      </c>
      <c r="L37" s="526">
        <f>SUM(L32:L36)</f>
        <v>36293</v>
      </c>
      <c r="M37" s="532">
        <f>SUM(M32:M36)</f>
        <v>32114</v>
      </c>
    </row>
    <row r="38" ht="16.5" thickTop="1"/>
    <row r="53" ht="18.75">
      <c r="C53" s="65" t="s">
        <v>107</v>
      </c>
    </row>
  </sheetData>
  <mergeCells count="9">
    <mergeCell ref="A1:K1"/>
    <mergeCell ref="A29:K29"/>
    <mergeCell ref="A32:C32"/>
    <mergeCell ref="A37:C37"/>
    <mergeCell ref="A31:C31"/>
    <mergeCell ref="A33:C33"/>
    <mergeCell ref="A34:C34"/>
    <mergeCell ref="A35:C35"/>
    <mergeCell ref="A36:C36"/>
  </mergeCells>
  <printOptions horizontalCentered="1"/>
  <pageMargins left="0" right="0" top="0.984251968503937" bottom="0.5905511811023623" header="0.5118110236220472" footer="0"/>
  <pageSetup horizontalDpi="300" verticalDpi="300" orientation="portrait" paperSize="9" scale="75" r:id="rId2"/>
  <headerFooter alignWithMargins="0">
    <oddFooter>&amp;C&amp;A</oddFooter>
  </headerFooter>
  <ignoredErrors>
    <ignoredError sqref="B9 C38:D39 E38:H39" formulaRange="1"/>
    <ignoredError sqref="C9:K9" formula="1" formulaRange="1"/>
  </ignoredErrors>
  <drawing r:id="rId1"/>
</worksheet>
</file>

<file path=xl/worksheets/sheet2.xml><?xml version="1.0" encoding="utf-8"?>
<worksheet xmlns="http://schemas.openxmlformats.org/spreadsheetml/2006/main" xmlns:r="http://schemas.openxmlformats.org/officeDocument/2006/relationships">
  <dimension ref="A2:C30"/>
  <sheetViews>
    <sheetView showGridLines="0" workbookViewId="0" topLeftCell="A20">
      <selection activeCell="D21" sqref="D21"/>
    </sheetView>
  </sheetViews>
  <sheetFormatPr defaultColWidth="9.00390625" defaultRowHeight="12.75"/>
  <cols>
    <col min="1" max="1" width="68.375" style="7" customWidth="1"/>
    <col min="2" max="2" width="5.875" style="1" customWidth="1"/>
    <col min="3" max="3" width="13.375" style="1" customWidth="1"/>
    <col min="4" max="16384" width="9.125" style="1" customWidth="1"/>
  </cols>
  <sheetData>
    <row r="1" ht="12.75" hidden="1"/>
    <row r="2" spans="1:3" ht="24" customHeight="1">
      <c r="A2" s="641" t="s">
        <v>410</v>
      </c>
      <c r="B2" s="642"/>
      <c r="C2" s="642"/>
    </row>
    <row r="3" spans="1:3" ht="28.5" customHeight="1" thickBot="1">
      <c r="A3" s="134"/>
      <c r="B3" s="135" t="s">
        <v>411</v>
      </c>
      <c r="C3" s="136" t="s">
        <v>412</v>
      </c>
    </row>
    <row r="4" spans="1:3" ht="15" customHeight="1">
      <c r="A4" s="137" t="s">
        <v>413</v>
      </c>
      <c r="B4" s="138">
        <v>1</v>
      </c>
      <c r="C4" s="139" t="s">
        <v>147</v>
      </c>
    </row>
    <row r="5" spans="1:3" ht="24.75" customHeight="1">
      <c r="A5" s="137" t="s">
        <v>414</v>
      </c>
      <c r="B5" s="138">
        <v>2</v>
      </c>
      <c r="C5" s="140" t="s">
        <v>415</v>
      </c>
    </row>
    <row r="6" spans="1:3" ht="23.25" customHeight="1">
      <c r="A6" s="137" t="s">
        <v>314</v>
      </c>
      <c r="B6" s="141">
        <v>3</v>
      </c>
      <c r="C6" s="140" t="s">
        <v>416</v>
      </c>
    </row>
    <row r="7" spans="1:3" ht="22.5" customHeight="1">
      <c r="A7" s="137" t="s">
        <v>315</v>
      </c>
      <c r="B7" s="138">
        <v>3</v>
      </c>
      <c r="C7" s="140" t="s">
        <v>417</v>
      </c>
    </row>
    <row r="8" spans="1:3" ht="24.75" customHeight="1">
      <c r="A8" s="137" t="s">
        <v>316</v>
      </c>
      <c r="B8" s="138">
        <v>4</v>
      </c>
      <c r="C8" s="140" t="s">
        <v>418</v>
      </c>
    </row>
    <row r="9" spans="1:3" s="7" customFormat="1" ht="24.75" customHeight="1">
      <c r="A9" s="137" t="s">
        <v>419</v>
      </c>
      <c r="B9" s="138">
        <v>5</v>
      </c>
      <c r="C9" s="140" t="s">
        <v>52</v>
      </c>
    </row>
    <row r="10" spans="1:3" s="7" customFormat="1" ht="24.75" customHeight="1">
      <c r="A10" s="137" t="s">
        <v>436</v>
      </c>
      <c r="B10" s="138">
        <v>6</v>
      </c>
      <c r="C10" s="140" t="s">
        <v>63</v>
      </c>
    </row>
    <row r="11" spans="1:3" s="7" customFormat="1" ht="24.75" customHeight="1">
      <c r="A11" s="137" t="s">
        <v>429</v>
      </c>
      <c r="B11" s="138">
        <v>7</v>
      </c>
      <c r="C11" s="140" t="s">
        <v>420</v>
      </c>
    </row>
    <row r="12" spans="1:3" ht="24.75" customHeight="1">
      <c r="A12" s="137" t="s">
        <v>430</v>
      </c>
      <c r="B12" s="138">
        <v>8</v>
      </c>
      <c r="C12" s="140" t="s">
        <v>421</v>
      </c>
    </row>
    <row r="13" spans="1:3" ht="24.75" customHeight="1">
      <c r="A13" s="137" t="s">
        <v>431</v>
      </c>
      <c r="B13" s="138">
        <v>9</v>
      </c>
      <c r="C13" s="140" t="s">
        <v>422</v>
      </c>
    </row>
    <row r="14" spans="1:3" ht="27" customHeight="1">
      <c r="A14" s="137" t="s">
        <v>432</v>
      </c>
      <c r="B14" s="138">
        <v>10</v>
      </c>
      <c r="C14" s="140" t="s">
        <v>62</v>
      </c>
    </row>
    <row r="15" spans="1:3" ht="27" customHeight="1">
      <c r="A15" s="137" t="s">
        <v>433</v>
      </c>
      <c r="B15" s="142">
        <v>11</v>
      </c>
      <c r="C15" s="140" t="s">
        <v>439</v>
      </c>
    </row>
    <row r="16" spans="1:3" ht="27" customHeight="1">
      <c r="A16" s="137" t="s">
        <v>64</v>
      </c>
      <c r="B16" s="142">
        <v>12</v>
      </c>
      <c r="C16" s="140" t="s">
        <v>61</v>
      </c>
    </row>
    <row r="17" spans="1:3" ht="21" customHeight="1">
      <c r="A17" s="137" t="s">
        <v>423</v>
      </c>
      <c r="B17" s="138">
        <v>13</v>
      </c>
      <c r="C17" s="140" t="s">
        <v>60</v>
      </c>
    </row>
    <row r="18" spans="1:3" ht="20.25" customHeight="1">
      <c r="A18" s="137" t="s">
        <v>424</v>
      </c>
      <c r="B18" s="138">
        <v>14</v>
      </c>
      <c r="C18" s="140" t="s">
        <v>59</v>
      </c>
    </row>
    <row r="19" spans="1:3" ht="21" customHeight="1">
      <c r="A19" s="137" t="s">
        <v>425</v>
      </c>
      <c r="B19" s="138">
        <f>+B18+1</f>
        <v>15</v>
      </c>
      <c r="C19" s="140" t="s">
        <v>58</v>
      </c>
    </row>
    <row r="20" spans="1:3" ht="20.25" customHeight="1">
      <c r="A20" s="137" t="s">
        <v>793</v>
      </c>
      <c r="B20" s="138">
        <f aca="true" t="shared" si="0" ref="B20:B26">+B19+1</f>
        <v>16</v>
      </c>
      <c r="C20" s="140" t="s">
        <v>57</v>
      </c>
    </row>
    <row r="21" spans="1:3" ht="24.75" customHeight="1">
      <c r="A21" s="137" t="s">
        <v>426</v>
      </c>
      <c r="B21" s="138">
        <f t="shared" si="0"/>
        <v>17</v>
      </c>
      <c r="C21" s="140" t="s">
        <v>56</v>
      </c>
    </row>
    <row r="22" spans="1:3" ht="24.75" customHeight="1">
      <c r="A22" s="137" t="s">
        <v>794</v>
      </c>
      <c r="B22" s="138">
        <f t="shared" si="0"/>
        <v>18</v>
      </c>
      <c r="C22" s="140" t="s">
        <v>55</v>
      </c>
    </row>
    <row r="23" spans="1:3" ht="24.75" customHeight="1">
      <c r="A23" s="137" t="s">
        <v>434</v>
      </c>
      <c r="B23" s="138">
        <f t="shared" si="0"/>
        <v>19</v>
      </c>
      <c r="C23" s="140" t="s">
        <v>427</v>
      </c>
    </row>
    <row r="24" spans="1:3" ht="24.75" customHeight="1">
      <c r="A24" s="137" t="s">
        <v>438</v>
      </c>
      <c r="B24" s="138">
        <f t="shared" si="0"/>
        <v>20</v>
      </c>
      <c r="C24" s="140" t="s">
        <v>440</v>
      </c>
    </row>
    <row r="25" spans="1:3" ht="24.75" customHeight="1">
      <c r="A25" s="137" t="s">
        <v>437</v>
      </c>
      <c r="B25" s="138">
        <f t="shared" si="0"/>
        <v>21</v>
      </c>
      <c r="C25" s="140" t="s">
        <v>468</v>
      </c>
    </row>
    <row r="26" spans="1:3" ht="24.75" customHeight="1">
      <c r="A26" s="137" t="s">
        <v>435</v>
      </c>
      <c r="B26" s="138">
        <f t="shared" si="0"/>
        <v>22</v>
      </c>
      <c r="C26" s="140" t="s">
        <v>65</v>
      </c>
    </row>
    <row r="27" spans="1:3" ht="25.5" customHeight="1">
      <c r="A27" s="137" t="s">
        <v>428</v>
      </c>
      <c r="B27" s="138">
        <v>22</v>
      </c>
      <c r="C27" s="140" t="s">
        <v>54</v>
      </c>
    </row>
    <row r="28" spans="1:3" ht="21" customHeight="1">
      <c r="A28" s="137" t="s">
        <v>816</v>
      </c>
      <c r="B28" s="138">
        <v>23</v>
      </c>
      <c r="C28" s="140" t="s">
        <v>53</v>
      </c>
    </row>
    <row r="29" spans="1:3" ht="27.75" customHeight="1">
      <c r="A29" s="137" t="s">
        <v>317</v>
      </c>
      <c r="B29" s="138">
        <v>24</v>
      </c>
      <c r="C29" s="140" t="s">
        <v>772</v>
      </c>
    </row>
    <row r="30" spans="1:3" ht="17.25" customHeight="1">
      <c r="A30" s="137" t="s">
        <v>318</v>
      </c>
      <c r="B30" s="138">
        <v>25</v>
      </c>
      <c r="C30" s="140" t="s">
        <v>66</v>
      </c>
    </row>
  </sheetData>
  <mergeCells count="1">
    <mergeCell ref="A2:C2"/>
  </mergeCells>
  <printOptions/>
  <pageMargins left="0.7480314960629921" right="0.3937007874015748" top="0.984251968503937" bottom="0" header="0.5118110236220472" footer="0"/>
  <pageSetup horizontalDpi="300" verticalDpi="300" orientation="portrait" paperSize="9" r:id="rId1"/>
  <ignoredErrors>
    <ignoredError sqref="C5:C8" numberStoredAsText="1"/>
  </ignoredErrors>
</worksheet>
</file>

<file path=xl/worksheets/sheet20.xml><?xml version="1.0" encoding="utf-8"?>
<worksheet xmlns="http://schemas.openxmlformats.org/spreadsheetml/2006/main" xmlns:r="http://schemas.openxmlformats.org/officeDocument/2006/relationships">
  <sheetPr>
    <tabColor indexed="12"/>
  </sheetPr>
  <dimension ref="A1:P76"/>
  <sheetViews>
    <sheetView showGridLines="0" workbookViewId="0" topLeftCell="A24">
      <selection activeCell="A79" sqref="A79"/>
    </sheetView>
  </sheetViews>
  <sheetFormatPr defaultColWidth="9.00390625" defaultRowHeight="12.75"/>
  <cols>
    <col min="1" max="1" width="30.00390625" style="71" customWidth="1"/>
    <col min="2" max="2" width="17.375" style="71" customWidth="1"/>
    <col min="3" max="3" width="16.375" style="71" customWidth="1"/>
    <col min="4" max="4" width="14.00390625" style="71" customWidth="1"/>
    <col min="5" max="5" width="11.875" style="71" customWidth="1"/>
    <col min="6" max="6" width="10.625" style="98" bestFit="1" customWidth="1"/>
    <col min="7" max="7" width="9.125" style="98" customWidth="1"/>
    <col min="8" max="8" width="10.75390625" style="98" customWidth="1"/>
    <col min="9" max="14" width="9.125" style="98" customWidth="1"/>
    <col min="15" max="16384" width="9.125" style="71" customWidth="1"/>
  </cols>
  <sheetData>
    <row r="1" spans="1:16" ht="15.75" customHeight="1">
      <c r="A1" s="792" t="s">
        <v>29</v>
      </c>
      <c r="B1" s="793"/>
      <c r="C1" s="793"/>
      <c r="D1" s="793"/>
      <c r="E1" s="793"/>
      <c r="G1" s="159"/>
      <c r="H1" s="186" t="s">
        <v>494</v>
      </c>
      <c r="I1" s="186" t="s">
        <v>495</v>
      </c>
      <c r="J1" s="159"/>
      <c r="O1" s="98"/>
      <c r="P1" s="98"/>
    </row>
    <row r="2" spans="1:16" ht="24" customHeight="1">
      <c r="A2" s="72" t="s">
        <v>277</v>
      </c>
      <c r="B2" s="72" t="s">
        <v>335</v>
      </c>
      <c r="C2" s="72" t="s">
        <v>492</v>
      </c>
      <c r="D2" s="72" t="s">
        <v>493</v>
      </c>
      <c r="E2" s="72" t="s">
        <v>329</v>
      </c>
      <c r="G2" s="159">
        <v>2000</v>
      </c>
      <c r="H2" s="159">
        <v>43.7</v>
      </c>
      <c r="I2" s="159">
        <v>39</v>
      </c>
      <c r="J2" s="159"/>
      <c r="O2" s="98"/>
      <c r="P2" s="98"/>
    </row>
    <row r="3" spans="1:16" ht="12.75">
      <c r="A3" s="45" t="s">
        <v>278</v>
      </c>
      <c r="B3" s="73">
        <v>88975810</v>
      </c>
      <c r="C3" s="73">
        <v>168610000</v>
      </c>
      <c r="D3" s="73"/>
      <c r="E3" s="74"/>
      <c r="G3" s="98">
        <v>2001</v>
      </c>
      <c r="H3" s="98">
        <v>67.3</v>
      </c>
      <c r="I3" s="98">
        <v>68.5</v>
      </c>
      <c r="O3" s="98"/>
      <c r="P3" s="98"/>
    </row>
    <row r="4" spans="1:16" ht="12.75">
      <c r="A4" s="75" t="s">
        <v>279</v>
      </c>
      <c r="B4" s="76">
        <v>119051010</v>
      </c>
      <c r="C4" s="76">
        <v>214168461</v>
      </c>
      <c r="D4" s="76"/>
      <c r="E4" s="77"/>
      <c r="G4" s="98">
        <v>2002</v>
      </c>
      <c r="H4" s="98">
        <v>31.9</v>
      </c>
      <c r="I4" s="98">
        <v>29.7</v>
      </c>
      <c r="O4" s="98"/>
      <c r="P4" s="98"/>
    </row>
    <row r="5" spans="1:16" ht="15" customHeight="1">
      <c r="A5" s="78"/>
      <c r="B5" s="794" t="s">
        <v>336</v>
      </c>
      <c r="C5" s="794"/>
      <c r="D5" s="79">
        <v>43.7</v>
      </c>
      <c r="E5" s="80">
        <v>39</v>
      </c>
      <c r="G5" s="98">
        <v>2003</v>
      </c>
      <c r="H5" s="98">
        <v>20</v>
      </c>
      <c r="I5" s="98">
        <v>18.4</v>
      </c>
      <c r="O5" s="98"/>
      <c r="P5" s="98"/>
    </row>
    <row r="6" spans="1:16" ht="12.75">
      <c r="A6" s="45" t="s">
        <v>337</v>
      </c>
      <c r="B6" s="73">
        <v>121910036</v>
      </c>
      <c r="C6" s="73">
        <v>250934396</v>
      </c>
      <c r="D6" s="73"/>
      <c r="E6" s="74" t="s">
        <v>107</v>
      </c>
      <c r="G6" s="98">
        <v>2004</v>
      </c>
      <c r="H6" s="98">
        <v>21</v>
      </c>
      <c r="I6" s="98">
        <v>9.3</v>
      </c>
      <c r="O6" s="98"/>
      <c r="P6" s="98"/>
    </row>
    <row r="7" spans="1:16" ht="12.75">
      <c r="A7" s="45" t="s">
        <v>280</v>
      </c>
      <c r="B7" s="73">
        <v>196036344</v>
      </c>
      <c r="C7" s="73">
        <v>414591657</v>
      </c>
      <c r="D7" s="73"/>
      <c r="E7" s="74" t="s">
        <v>107</v>
      </c>
      <c r="G7" s="98">
        <v>2005</v>
      </c>
      <c r="H7" s="98">
        <v>12.3</v>
      </c>
      <c r="I7" s="98">
        <v>10.53</v>
      </c>
      <c r="O7" s="98"/>
      <c r="P7" s="98"/>
    </row>
    <row r="8" spans="1:16" ht="15" customHeight="1">
      <c r="A8" s="78"/>
      <c r="B8" s="794" t="s">
        <v>336</v>
      </c>
      <c r="C8" s="794"/>
      <c r="D8" s="79">
        <v>67.3</v>
      </c>
      <c r="E8" s="81">
        <v>68.5</v>
      </c>
      <c r="G8" s="98">
        <v>2006</v>
      </c>
      <c r="H8" s="98">
        <v>10.2</v>
      </c>
      <c r="O8" s="98"/>
      <c r="P8" s="98"/>
    </row>
    <row r="9" spans="1:5" ht="12.75">
      <c r="A9" s="42" t="s">
        <v>281</v>
      </c>
      <c r="B9" s="73">
        <f>+(B7-4690000)*1.032+4690000</f>
        <v>202159427.00800002</v>
      </c>
      <c r="C9" s="73">
        <v>469289639</v>
      </c>
      <c r="D9" s="73"/>
      <c r="E9" s="74" t="s">
        <v>107</v>
      </c>
    </row>
    <row r="10" spans="1:5" ht="12.75" hidden="1">
      <c r="A10" s="42" t="s">
        <v>282</v>
      </c>
      <c r="B10" s="73">
        <f>+(B9-4690000)*1.053+4690000</f>
        <v>212625306.639424</v>
      </c>
      <c r="C10" s="73">
        <f>+(C9-4690000)*1.053+4690000</f>
        <v>493913419.867</v>
      </c>
      <c r="D10" s="73"/>
      <c r="E10" s="74">
        <v>5.3</v>
      </c>
    </row>
    <row r="11" spans="1:5" ht="12.75" hidden="1">
      <c r="A11" s="42" t="s">
        <v>283</v>
      </c>
      <c r="B11" s="73">
        <f>+(B10-4690000)*1.018+4690000</f>
        <v>216368142.15893364</v>
      </c>
      <c r="C11" s="73">
        <f>+(C10-4690000)*1.018+4690000</f>
        <v>502719441.42460597</v>
      </c>
      <c r="D11" s="73"/>
      <c r="E11" s="74">
        <v>1.8</v>
      </c>
    </row>
    <row r="12" spans="1:5" ht="12.75" hidden="1">
      <c r="A12" s="42" t="s">
        <v>284</v>
      </c>
      <c r="B12" s="73">
        <f>+(B11-4690000)*1.012+4690000</f>
        <v>218908279.86484084</v>
      </c>
      <c r="C12" s="73">
        <f>+(C11-4690000)*1.012+4690000</f>
        <v>508695794.72170126</v>
      </c>
      <c r="D12" s="73"/>
      <c r="E12" s="74">
        <v>1.2</v>
      </c>
    </row>
    <row r="13" spans="1:5" ht="12.75" hidden="1">
      <c r="A13" s="42" t="s">
        <v>285</v>
      </c>
      <c r="B13" s="73">
        <f>+(B12-4690000)*1.021+4690000</f>
        <v>223406863.7420025</v>
      </c>
      <c r="C13" s="73">
        <f>+(C12-4690000)*1.021+4690000</f>
        <v>519279916.41085696</v>
      </c>
      <c r="D13" s="73"/>
      <c r="E13" s="74">
        <v>2.1</v>
      </c>
    </row>
    <row r="14" spans="1:5" ht="12.75" hidden="1">
      <c r="A14" s="42" t="s">
        <v>286</v>
      </c>
      <c r="B14" s="73">
        <f>+(B13-4690000)*1.006+4690000</f>
        <v>224719164.9244545</v>
      </c>
      <c r="C14" s="73">
        <f>+(C13-4690000)*1.006+4690000</f>
        <v>522367455.9093221</v>
      </c>
      <c r="D14" s="73"/>
      <c r="E14" s="74">
        <v>0.6</v>
      </c>
    </row>
    <row r="15" spans="1:5" ht="12.75" hidden="1">
      <c r="A15" s="42" t="s">
        <v>287</v>
      </c>
      <c r="B15" s="73">
        <f>+(B14-4690000)*1.006+4690000</f>
        <v>226039339.91400123</v>
      </c>
      <c r="C15" s="73">
        <f>+(C14-4690000)*1.006+4690000+8</f>
        <v>525473528.644778</v>
      </c>
      <c r="D15" s="73"/>
      <c r="E15" s="74">
        <v>0.6</v>
      </c>
    </row>
    <row r="16" spans="1:5" ht="12.75" hidden="1">
      <c r="A16" s="42" t="s">
        <v>288</v>
      </c>
      <c r="B16" s="73">
        <f>+(B15-4690000)*1.014+4690000+8</f>
        <v>229138238.67279723</v>
      </c>
      <c r="C16" s="73">
        <f>+(C15-4690000)*1.014+4690000+1</f>
        <v>532764499.0458049</v>
      </c>
      <c r="D16" s="73"/>
      <c r="E16" s="74">
        <v>1.4</v>
      </c>
    </row>
    <row r="17" spans="1:5" ht="12.75" hidden="1">
      <c r="A17" s="42" t="s">
        <v>289</v>
      </c>
      <c r="B17" s="73">
        <f>+(B16-4690000)*1.022+4690000+1</f>
        <v>234076100.92359877</v>
      </c>
      <c r="C17" s="73">
        <f>+(C16-4690000)*1.022+4690000</f>
        <v>544382138.0248126</v>
      </c>
      <c r="D17" s="73"/>
      <c r="E17" s="74">
        <v>2.2</v>
      </c>
    </row>
    <row r="18" spans="1:5" ht="12.75" hidden="1">
      <c r="A18" s="42" t="s">
        <v>290</v>
      </c>
      <c r="B18" s="73">
        <f>+(B17-4690000)*1.035+4690000+1</f>
        <v>242104615.45592472</v>
      </c>
      <c r="C18" s="73">
        <f>+(C17-4690000)*1.035+4690000</f>
        <v>563271362.855681</v>
      </c>
      <c r="D18" s="73"/>
      <c r="E18" s="74">
        <v>3.5</v>
      </c>
    </row>
    <row r="19" spans="1:5" ht="12.75" hidden="1">
      <c r="A19" s="42" t="s">
        <v>291</v>
      </c>
      <c r="B19" s="73">
        <f>+(B18-4690000)*1.033+4690000</f>
        <v>249939297.76597023</v>
      </c>
      <c r="C19" s="73">
        <f>+(C18-4690000)*1.033+4690000</f>
        <v>581704547.8299184</v>
      </c>
      <c r="D19" s="73"/>
      <c r="E19" s="74">
        <v>3.3</v>
      </c>
    </row>
    <row r="20" spans="1:5" ht="14.25" customHeight="1">
      <c r="A20" s="42" t="s">
        <v>292</v>
      </c>
      <c r="B20" s="73">
        <f>+(B19-4690000)*1.029+1+4690000</f>
        <v>257051528.40118334</v>
      </c>
      <c r="C20" s="73">
        <v>525473523</v>
      </c>
      <c r="D20" s="73"/>
      <c r="E20" s="74" t="s">
        <v>107</v>
      </c>
    </row>
    <row r="21" spans="1:7" ht="15" customHeight="1">
      <c r="A21" s="78"/>
      <c r="B21" s="794" t="s">
        <v>336</v>
      </c>
      <c r="C21" s="794"/>
      <c r="D21" s="79">
        <v>31.9</v>
      </c>
      <c r="E21" s="80">
        <v>29.7</v>
      </c>
      <c r="G21" s="98" t="s">
        <v>107</v>
      </c>
    </row>
    <row r="22" spans="1:5" ht="12.75" hidden="1">
      <c r="A22" s="82" t="s">
        <v>304</v>
      </c>
      <c r="B22" s="83">
        <v>261089313</v>
      </c>
      <c r="C22" s="83">
        <v>503330103</v>
      </c>
      <c r="D22" s="83"/>
      <c r="E22" s="84">
        <v>1.6</v>
      </c>
    </row>
    <row r="23" spans="1:5" ht="12.75" hidden="1">
      <c r="A23" s="85" t="s">
        <v>305</v>
      </c>
      <c r="B23" s="86">
        <f>75000000-(B22-B20)</f>
        <v>70962215.40118334</v>
      </c>
      <c r="C23" s="86">
        <f>75000000-(C22-C20)</f>
        <v>97143420</v>
      </c>
      <c r="D23" s="86"/>
      <c r="E23" s="87"/>
    </row>
    <row r="24" spans="1:5" ht="12.75">
      <c r="A24" s="82" t="s">
        <v>304</v>
      </c>
      <c r="B24" s="88">
        <v>332051528</v>
      </c>
      <c r="C24" s="88">
        <v>715473472</v>
      </c>
      <c r="D24" s="88"/>
      <c r="E24" s="84"/>
    </row>
    <row r="25" spans="1:5" ht="12.75" hidden="1">
      <c r="A25" s="85" t="s">
        <v>282</v>
      </c>
      <c r="B25" s="89">
        <f>+(B22-4690000)*(1+E25/100)+4690000</f>
        <v>267755695.138</v>
      </c>
      <c r="C25" s="89">
        <f>+((C22-4690000)*1.026+4690000)</f>
        <v>516294745.67800003</v>
      </c>
      <c r="D25" s="89"/>
      <c r="E25" s="90">
        <v>2.6</v>
      </c>
    </row>
    <row r="26" spans="1:5" ht="12.75" hidden="1">
      <c r="A26" s="85" t="s">
        <v>283</v>
      </c>
      <c r="B26" s="89">
        <f>+B23-(B25-B22)</f>
        <v>64295833.263183326</v>
      </c>
      <c r="C26" s="89">
        <f>+C23-(C25-C22)-1</f>
        <v>84178776.32199997</v>
      </c>
      <c r="D26" s="89"/>
      <c r="E26" s="90"/>
    </row>
    <row r="27" spans="1:5" ht="12.75" hidden="1">
      <c r="A27" s="85" t="s">
        <v>284</v>
      </c>
      <c r="B27" s="89">
        <f>+B25+B26</f>
        <v>332051528.40118337</v>
      </c>
      <c r="C27" s="89">
        <f>+C25+C26+1</f>
        <v>600473523</v>
      </c>
      <c r="D27" s="89"/>
      <c r="E27" s="90"/>
    </row>
    <row r="28" spans="1:5" ht="12.75" hidden="1">
      <c r="A28" s="85" t="s">
        <v>285</v>
      </c>
      <c r="B28" s="89">
        <f>+((B25-4690000)*1.023+4690000)+2</f>
        <v>273806208.126174</v>
      </c>
      <c r="C28" s="89">
        <f>+((C25-4690000)*1.023+4690000)-99</f>
        <v>528061555.82859397</v>
      </c>
      <c r="D28" s="89"/>
      <c r="E28" s="90">
        <v>2.3</v>
      </c>
    </row>
    <row r="29" spans="1:5" ht="12.75" hidden="1">
      <c r="A29" s="85" t="s">
        <v>286</v>
      </c>
      <c r="B29" s="89">
        <f>+B26-(B28-B25)</f>
        <v>58245320.275009364</v>
      </c>
      <c r="C29" s="89">
        <f>+C26-(C28-C25)</f>
        <v>72411966.17140603</v>
      </c>
      <c r="D29" s="89"/>
      <c r="E29" s="90"/>
    </row>
    <row r="30" spans="1:5" ht="12.75" hidden="1">
      <c r="A30" s="85" t="s">
        <v>287</v>
      </c>
      <c r="B30" s="89">
        <f>+B28+B29</f>
        <v>332051528.40118337</v>
      </c>
      <c r="C30" s="89">
        <f>+C28+C29+1</f>
        <v>600473523</v>
      </c>
      <c r="D30" s="89"/>
      <c r="E30" s="90"/>
    </row>
    <row r="31" spans="1:5" ht="12.75" hidden="1">
      <c r="A31" s="85" t="s">
        <v>288</v>
      </c>
      <c r="B31" s="89">
        <f>+((B28-4690000)*1.031+4690000)</f>
        <v>282148810.57808536</v>
      </c>
      <c r="C31" s="89">
        <f>+((C28-4690000)*1.031+4690000)+104</f>
        <v>544286178.0592804</v>
      </c>
      <c r="D31" s="89"/>
      <c r="E31" s="90">
        <v>3.1</v>
      </c>
    </row>
    <row r="32" spans="1:5" ht="12.75" hidden="1">
      <c r="A32" s="85" t="s">
        <v>289</v>
      </c>
      <c r="B32" s="89">
        <f>+B29-(B31-B28)-1</f>
        <v>49902716.823097974</v>
      </c>
      <c r="C32" s="89">
        <f>+C29-(C31-C28)+1</f>
        <v>56187344.940719604</v>
      </c>
      <c r="D32" s="89"/>
      <c r="E32" s="90" t="s">
        <v>107</v>
      </c>
    </row>
    <row r="33" spans="1:5" ht="12.75" hidden="1">
      <c r="A33" s="85" t="s">
        <v>290</v>
      </c>
      <c r="B33" s="89">
        <f>+B31+B32+1</f>
        <v>332051528.40118337</v>
      </c>
      <c r="C33" s="89">
        <f>+C31+C32</f>
        <v>600473523</v>
      </c>
      <c r="D33" s="89"/>
      <c r="E33" s="90" t="s">
        <v>107</v>
      </c>
    </row>
    <row r="34" spans="1:5" ht="12.75" hidden="1">
      <c r="A34" s="85" t="s">
        <v>291</v>
      </c>
      <c r="B34" s="89">
        <f>+((B31-4690000)*1.021+4690000)+1</f>
        <v>287975446.60022515</v>
      </c>
      <c r="C34" s="89">
        <f>+((C31-4690000)*1.021+4690000)</f>
        <v>555617697.7985252</v>
      </c>
      <c r="D34" s="89"/>
      <c r="E34" s="90">
        <v>2.1</v>
      </c>
    </row>
    <row r="35" spans="1:5" ht="12.75" hidden="1">
      <c r="A35" s="85" t="s">
        <v>292</v>
      </c>
      <c r="B35" s="89">
        <f>+B32-(B34-B31)</f>
        <v>44076080.80095819</v>
      </c>
      <c r="C35" s="89">
        <f>+C32-(C34-C31)-1</f>
        <v>44855824.201474786</v>
      </c>
      <c r="D35" s="89"/>
      <c r="E35" s="90"/>
    </row>
    <row r="36" spans="1:5" ht="12.75" hidden="1">
      <c r="A36" s="85" t="s">
        <v>303</v>
      </c>
      <c r="B36" s="89">
        <f>+B34+B35+1</f>
        <v>332051528.40118337</v>
      </c>
      <c r="C36" s="89">
        <f>+C34+C35+1</f>
        <v>600473523</v>
      </c>
      <c r="D36" s="89"/>
      <c r="E36" s="90"/>
    </row>
    <row r="37" spans="1:5" ht="12.75" hidden="1">
      <c r="A37" s="85" t="s">
        <v>309</v>
      </c>
      <c r="B37" s="89">
        <f>+((B34-4690000)*1.016+4690000)+1</f>
        <v>292508014.74582875</v>
      </c>
      <c r="C37" s="89">
        <f>+((C34-4690000)*1.016+4690000)+1</f>
        <v>564432541.9633017</v>
      </c>
      <c r="D37" s="89"/>
      <c r="E37" s="90">
        <v>1.6</v>
      </c>
    </row>
    <row r="38" spans="1:5" ht="12.75" hidden="1">
      <c r="A38" s="85" t="s">
        <v>305</v>
      </c>
      <c r="B38" s="89">
        <f>+(B35-(B37-B34))</f>
        <v>39543512.65535459</v>
      </c>
      <c r="C38" s="89">
        <f>+(C35-(C37-C34))</f>
        <v>36040980.03669834</v>
      </c>
      <c r="D38" s="89"/>
      <c r="E38" s="90"/>
    </row>
    <row r="39" spans="1:5" ht="1.5" customHeight="1" hidden="1">
      <c r="A39" s="85" t="s">
        <v>303</v>
      </c>
      <c r="B39" s="89">
        <f>+B38+B37+1</f>
        <v>332051528.40118337</v>
      </c>
      <c r="C39" s="89">
        <f>+C38+C37+1</f>
        <v>600473523</v>
      </c>
      <c r="D39" s="89"/>
      <c r="E39" s="90"/>
    </row>
    <row r="40" spans="1:5" ht="12.75" hidden="1">
      <c r="A40" s="85" t="s">
        <v>310</v>
      </c>
      <c r="B40" s="89">
        <f>+B37</f>
        <v>292508014.74582875</v>
      </c>
      <c r="C40" s="89">
        <f>+C37</f>
        <v>564432541.9633017</v>
      </c>
      <c r="D40" s="89"/>
      <c r="E40" s="90">
        <v>-0.2</v>
      </c>
    </row>
    <row r="41" spans="1:5" ht="12.75" hidden="1">
      <c r="A41" s="85" t="s">
        <v>305</v>
      </c>
      <c r="B41" s="89">
        <f>+(B38-(B40-B37))</f>
        <v>39543512.65535459</v>
      </c>
      <c r="C41" s="89">
        <f>+(C38-(C40-C37))</f>
        <v>36040980.03669834</v>
      </c>
      <c r="D41" s="89"/>
      <c r="E41" s="90"/>
    </row>
    <row r="42" spans="1:5" ht="12.75" hidden="1">
      <c r="A42" s="85" t="s">
        <v>303</v>
      </c>
      <c r="B42" s="89">
        <f>+B41+B40+1</f>
        <v>332051528.40118337</v>
      </c>
      <c r="C42" s="89">
        <f>+C41+C40+1</f>
        <v>600473523</v>
      </c>
      <c r="D42" s="89"/>
      <c r="E42" s="90"/>
    </row>
    <row r="43" spans="1:5" ht="12.75" hidden="1">
      <c r="A43" s="85" t="s">
        <v>311</v>
      </c>
      <c r="B43" s="89">
        <f>+B40</f>
        <v>292508014.74582875</v>
      </c>
      <c r="C43" s="89">
        <f>+C40</f>
        <v>564432541.9633017</v>
      </c>
      <c r="D43" s="89"/>
      <c r="E43" s="90">
        <v>-0.4</v>
      </c>
    </row>
    <row r="44" spans="1:5" ht="12.75" hidden="1">
      <c r="A44" s="85" t="s">
        <v>305</v>
      </c>
      <c r="B44" s="89">
        <f>+(B41-(B43-B40))</f>
        <v>39543512.65535459</v>
      </c>
      <c r="C44" s="89">
        <f>+(C41-(C43-C40))</f>
        <v>36040980.03669834</v>
      </c>
      <c r="D44" s="89"/>
      <c r="E44" s="90"/>
    </row>
    <row r="45" spans="1:5" ht="12.75" hidden="1">
      <c r="A45" s="85" t="s">
        <v>303</v>
      </c>
      <c r="B45" s="89">
        <f>+B44+B43+1</f>
        <v>332051528.40118337</v>
      </c>
      <c r="C45" s="89">
        <f>+C44+C43+1</f>
        <v>600473523</v>
      </c>
      <c r="D45" s="89"/>
      <c r="E45" s="90"/>
    </row>
    <row r="46" spans="1:5" ht="12.75" hidden="1">
      <c r="A46" s="85" t="s">
        <v>320</v>
      </c>
      <c r="B46" s="89">
        <f>288393652+4690000-1</f>
        <v>293083651</v>
      </c>
      <c r="C46" s="89">
        <f>560862028+4690000-1</f>
        <v>565552027</v>
      </c>
      <c r="D46" s="89"/>
      <c r="E46" s="90">
        <v>0.2</v>
      </c>
    </row>
    <row r="47" spans="1:5" ht="12.75" hidden="1">
      <c r="A47" s="85" t="s">
        <v>305</v>
      </c>
      <c r="B47" s="89">
        <v>38967876</v>
      </c>
      <c r="C47" s="89">
        <v>4925474</v>
      </c>
      <c r="D47" s="89"/>
      <c r="E47" s="90"/>
    </row>
    <row r="48" spans="1:5" ht="12.75" hidden="1">
      <c r="A48" s="85" t="s">
        <v>303</v>
      </c>
      <c r="B48" s="89">
        <f>+B47+B46+1</f>
        <v>332051528</v>
      </c>
      <c r="C48" s="89">
        <f>+C47+C46+1</f>
        <v>570477502</v>
      </c>
      <c r="D48" s="89"/>
      <c r="E48" s="90"/>
    </row>
    <row r="49" spans="1:5" ht="12.75" hidden="1">
      <c r="A49" s="85" t="s">
        <v>321</v>
      </c>
      <c r="B49" s="89">
        <f>+((B46-4690000)*1.019+4690000)+2</f>
        <v>298563132.36899996</v>
      </c>
      <c r="C49" s="89">
        <f>+((C46-4690000)*1.019+4690000)+1</f>
        <v>576208406.5129999</v>
      </c>
      <c r="D49" s="89"/>
      <c r="E49" s="90">
        <v>1.9</v>
      </c>
    </row>
    <row r="50" spans="1:5" ht="12.75" hidden="1">
      <c r="A50" s="85" t="s">
        <v>305</v>
      </c>
      <c r="B50" s="89">
        <f>+(B47-(B49-B46))+1</f>
        <v>33488395.631000042</v>
      </c>
      <c r="C50" s="89">
        <v>0</v>
      </c>
      <c r="D50" s="89"/>
      <c r="E50" s="90"/>
    </row>
    <row r="51" spans="1:5" ht="0.75" customHeight="1" hidden="1">
      <c r="A51" s="85" t="s">
        <v>303</v>
      </c>
      <c r="B51" s="89">
        <f>+B50+B49</f>
        <v>332051528</v>
      </c>
      <c r="C51" s="89">
        <f>+C50+C49+1</f>
        <v>576208407.5129999</v>
      </c>
      <c r="D51" s="89"/>
      <c r="E51" s="90"/>
    </row>
    <row r="52" spans="1:5" ht="9" customHeight="1" hidden="1">
      <c r="A52" s="85" t="s">
        <v>326</v>
      </c>
      <c r="B52" s="89">
        <f>+((B49-4690000)*1.014+4690000)</f>
        <v>302677356.22216594</v>
      </c>
      <c r="C52" s="89">
        <f>+((C49-4690000)*1.014+4690000)+1</f>
        <v>584209665.2041819</v>
      </c>
      <c r="D52" s="89"/>
      <c r="E52" s="90">
        <v>1.4</v>
      </c>
    </row>
    <row r="53" spans="1:5" ht="12" customHeight="1" hidden="1">
      <c r="A53" s="85" t="s">
        <v>305</v>
      </c>
      <c r="B53" s="89">
        <f>+(B50-(B52-B49))</f>
        <v>29374171.777834058</v>
      </c>
      <c r="C53" s="89">
        <v>0</v>
      </c>
      <c r="D53" s="89"/>
      <c r="E53" s="90"/>
    </row>
    <row r="54" spans="1:5" ht="11.25" customHeight="1" hidden="1">
      <c r="A54" s="85" t="s">
        <v>303</v>
      </c>
      <c r="B54" s="89">
        <f>+B53+B52</f>
        <v>332051528</v>
      </c>
      <c r="C54" s="89">
        <f>+C53+C52</f>
        <v>584209665.2041819</v>
      </c>
      <c r="D54" s="89"/>
      <c r="E54" s="90"/>
    </row>
    <row r="55" spans="1:5" ht="11.25" customHeight="1" hidden="1">
      <c r="A55" s="85" t="s">
        <v>327</v>
      </c>
      <c r="B55" s="89">
        <f>+((B52-4690000)*1.016+4690000)</f>
        <v>307445153.9217206</v>
      </c>
      <c r="C55" s="89">
        <f>+((C52-4690000)*1.016+4690000)</f>
        <v>593481979.8474488</v>
      </c>
      <c r="D55" s="89"/>
      <c r="E55" s="90">
        <v>1.6</v>
      </c>
    </row>
    <row r="56" spans="1:5" ht="1.5" customHeight="1" hidden="1">
      <c r="A56" s="85" t="s">
        <v>305</v>
      </c>
      <c r="B56" s="89">
        <f>+(B53-(B55-B52))</f>
        <v>24606374.078279376</v>
      </c>
      <c r="C56" s="89">
        <v>0</v>
      </c>
      <c r="D56" s="89"/>
      <c r="E56" s="90"/>
    </row>
    <row r="57" spans="1:7" ht="17.25" customHeight="1">
      <c r="A57" s="91" t="s">
        <v>138</v>
      </c>
      <c r="B57" s="76">
        <v>332051528</v>
      </c>
      <c r="C57" s="76">
        <v>712865087</v>
      </c>
      <c r="D57" s="76"/>
      <c r="E57" s="77"/>
      <c r="G57" s="98" t="s">
        <v>107</v>
      </c>
    </row>
    <row r="58" spans="1:5" ht="15.75" customHeight="1">
      <c r="A58" s="92"/>
      <c r="B58" s="795" t="s">
        <v>336</v>
      </c>
      <c r="C58" s="795"/>
      <c r="D58" s="93">
        <f>((1.016*1.026*1.023*1.031*1.021*1.016*1.019*1.014*1.016*1.002)-1)*100</f>
        <v>19.968819733483166</v>
      </c>
      <c r="E58" s="93">
        <v>18.4</v>
      </c>
    </row>
    <row r="59" spans="1:5" ht="15.75" customHeight="1">
      <c r="A59" s="82" t="s">
        <v>328</v>
      </c>
      <c r="B59" s="88">
        <f>+(B57-4690000)*1.1+4690000</f>
        <v>364787680.8</v>
      </c>
      <c r="C59" s="88">
        <v>771154493</v>
      </c>
      <c r="D59" s="88"/>
      <c r="E59" s="84" t="s">
        <v>107</v>
      </c>
    </row>
    <row r="60" spans="1:5" ht="12.75" customHeight="1">
      <c r="A60" s="91" t="s">
        <v>330</v>
      </c>
      <c r="B60" s="76">
        <f>+(B59-4690000)*1.1+4690000+50</f>
        <v>400797498.88000005</v>
      </c>
      <c r="C60" s="76">
        <v>989071089</v>
      </c>
      <c r="D60" s="76"/>
      <c r="E60" s="77" t="s">
        <v>107</v>
      </c>
    </row>
    <row r="61" spans="1:5" ht="15" customHeight="1">
      <c r="A61" s="92"/>
      <c r="B61" s="795" t="s">
        <v>336</v>
      </c>
      <c r="C61" s="795"/>
      <c r="D61" s="93">
        <v>21</v>
      </c>
      <c r="E61" s="93">
        <v>9.3</v>
      </c>
    </row>
    <row r="62" spans="1:5" ht="18" customHeight="1">
      <c r="A62" s="82" t="s">
        <v>332</v>
      </c>
      <c r="B62" s="88">
        <f>+(B60-4690000)*1.06+4690000</f>
        <v>424563948.81280005</v>
      </c>
      <c r="C62" s="88">
        <v>1183690000</v>
      </c>
      <c r="D62" s="94" t="s">
        <v>107</v>
      </c>
      <c r="E62" s="84" t="s">
        <v>107</v>
      </c>
    </row>
    <row r="63" spans="1:6" ht="18" customHeight="1">
      <c r="A63" s="91" t="s">
        <v>491</v>
      </c>
      <c r="B63" s="76">
        <f>+(B62-4690000)*1.06+4690000</f>
        <v>449756385.7415681</v>
      </c>
      <c r="C63" s="76">
        <v>1177740000</v>
      </c>
      <c r="D63" s="95" t="s">
        <v>107</v>
      </c>
      <c r="E63" s="77"/>
      <c r="F63" s="577"/>
    </row>
    <row r="64" spans="1:6" ht="15" customHeight="1">
      <c r="A64" s="85"/>
      <c r="B64" s="96" t="s">
        <v>107</v>
      </c>
      <c r="C64" s="96"/>
      <c r="D64" s="185">
        <v>12.3</v>
      </c>
      <c r="E64" s="90">
        <v>10.53</v>
      </c>
      <c r="F64" s="578"/>
    </row>
    <row r="65" spans="1:5" ht="17.25" customHeight="1">
      <c r="A65" s="82" t="s">
        <v>485</v>
      </c>
      <c r="B65" s="183">
        <f>+(((B63-4690000)*1.04)*1.03+4690000)/1000000</f>
        <v>481.4451124063678</v>
      </c>
      <c r="C65" s="183">
        <v>1303.32</v>
      </c>
      <c r="D65" s="184"/>
      <c r="E65" s="84" t="s">
        <v>107</v>
      </c>
    </row>
    <row r="66" spans="1:6" ht="18.75" customHeight="1">
      <c r="A66" s="91" t="s">
        <v>575</v>
      </c>
      <c r="B66" s="182">
        <v>495.75</v>
      </c>
      <c r="C66" s="182">
        <v>1391.74</v>
      </c>
      <c r="D66" s="184"/>
      <c r="E66" s="77"/>
      <c r="F66" s="578">
        <f>+B66-4.69</f>
        <v>491.06</v>
      </c>
    </row>
    <row r="67" spans="1:5" ht="12" customHeight="1">
      <c r="A67" s="85"/>
      <c r="B67" s="96" t="s">
        <v>107</v>
      </c>
      <c r="C67" s="96"/>
      <c r="D67" s="185">
        <v>10.2</v>
      </c>
      <c r="E67" s="90" t="s">
        <v>107</v>
      </c>
    </row>
    <row r="68" spans="1:5" ht="21" customHeight="1">
      <c r="A68" s="82" t="s">
        <v>69</v>
      </c>
      <c r="B68" s="183">
        <v>527.37</v>
      </c>
      <c r="C68" s="183">
        <v>1478.1</v>
      </c>
      <c r="D68" s="183"/>
      <c r="E68" s="84" t="s">
        <v>107</v>
      </c>
    </row>
    <row r="69" spans="1:14" s="576" customFormat="1" ht="23.25" customHeight="1">
      <c r="A69" s="91" t="s">
        <v>28</v>
      </c>
      <c r="B69" s="182">
        <v>547.37</v>
      </c>
      <c r="C69" s="182">
        <v>1764.68</v>
      </c>
      <c r="D69" s="182"/>
      <c r="E69" s="77" t="s">
        <v>107</v>
      </c>
      <c r="F69" s="578">
        <f>+B69-4.69</f>
        <v>542.68</v>
      </c>
      <c r="G69" s="98"/>
      <c r="H69" s="98"/>
      <c r="I69" s="98"/>
      <c r="J69" s="98"/>
      <c r="K69" s="98"/>
      <c r="L69" s="98"/>
      <c r="M69" s="98"/>
      <c r="N69" s="98"/>
    </row>
    <row r="70" spans="1:6" ht="12" customHeight="1">
      <c r="A70" s="85"/>
      <c r="B70" s="96" t="s">
        <v>107</v>
      </c>
      <c r="C70" s="96"/>
      <c r="D70" s="255">
        <v>10.5</v>
      </c>
      <c r="E70" s="90" t="s">
        <v>107</v>
      </c>
      <c r="F70" s="578">
        <f>+F69-F66</f>
        <v>51.61999999999995</v>
      </c>
    </row>
    <row r="71" spans="1:14" s="3" customFormat="1" ht="45.75" customHeight="1">
      <c r="A71" s="791" t="s">
        <v>489</v>
      </c>
      <c r="B71" s="791"/>
      <c r="C71" s="791"/>
      <c r="D71" s="791"/>
      <c r="E71" s="791"/>
      <c r="F71" s="187">
        <f>+F70/F66</f>
        <v>0.10511953732741405</v>
      </c>
      <c r="G71" s="187"/>
      <c r="H71" s="187"/>
      <c r="I71" s="187"/>
      <c r="J71" s="187"/>
      <c r="K71" s="187"/>
      <c r="L71" s="187"/>
      <c r="M71" s="187"/>
      <c r="N71" s="187"/>
    </row>
    <row r="72" spans="1:14" s="3" customFormat="1" ht="29.25" customHeight="1">
      <c r="A72" s="791" t="s">
        <v>490</v>
      </c>
      <c r="B72" s="791"/>
      <c r="C72" s="791"/>
      <c r="D72" s="791"/>
      <c r="E72" s="791"/>
      <c r="F72" s="187"/>
      <c r="G72" s="187"/>
      <c r="H72" s="187"/>
      <c r="I72" s="187"/>
      <c r="J72" s="187"/>
      <c r="K72" s="187"/>
      <c r="L72" s="187"/>
      <c r="M72" s="187"/>
      <c r="N72" s="187"/>
    </row>
    <row r="73" spans="1:14" s="3" customFormat="1" ht="18" customHeight="1">
      <c r="A73" s="791" t="s">
        <v>334</v>
      </c>
      <c r="B73" s="791"/>
      <c r="C73" s="791"/>
      <c r="D73" s="791"/>
      <c r="E73" s="791"/>
      <c r="F73" s="187" t="s">
        <v>107</v>
      </c>
      <c r="G73" s="187"/>
      <c r="H73" s="187"/>
      <c r="I73" s="187"/>
      <c r="J73" s="187"/>
      <c r="K73" s="187"/>
      <c r="L73" s="187"/>
      <c r="M73" s="187"/>
      <c r="N73" s="187"/>
    </row>
    <row r="74" spans="1:14" s="3" customFormat="1" ht="15">
      <c r="A74" s="791" t="s">
        <v>21</v>
      </c>
      <c r="B74" s="791"/>
      <c r="C74" s="791"/>
      <c r="D74" s="791"/>
      <c r="E74" s="791"/>
      <c r="F74" s="187" t="s">
        <v>107</v>
      </c>
      <c r="G74" s="187"/>
      <c r="H74" s="187"/>
      <c r="I74" s="187"/>
      <c r="J74" s="187"/>
      <c r="K74" s="187"/>
      <c r="L74" s="187"/>
      <c r="M74" s="187"/>
      <c r="N74" s="187"/>
    </row>
    <row r="75" spans="1:14" s="3" customFormat="1" ht="15">
      <c r="A75" s="791" t="s">
        <v>70</v>
      </c>
      <c r="B75" s="791"/>
      <c r="C75" s="791"/>
      <c r="D75" s="791"/>
      <c r="E75" s="791"/>
      <c r="F75" s="187"/>
      <c r="G75" s="187"/>
      <c r="H75" s="187"/>
      <c r="I75" s="187"/>
      <c r="J75" s="187"/>
      <c r="K75" s="187"/>
      <c r="L75" s="187"/>
      <c r="M75" s="187"/>
      <c r="N75" s="187"/>
    </row>
    <row r="76" spans="1:5" ht="65.25" customHeight="1">
      <c r="A76" s="791" t="s">
        <v>27</v>
      </c>
      <c r="B76" s="791"/>
      <c r="C76" s="791"/>
      <c r="D76" s="791"/>
      <c r="E76" s="791"/>
    </row>
  </sheetData>
  <mergeCells count="12">
    <mergeCell ref="A76:E76"/>
    <mergeCell ref="A1:E1"/>
    <mergeCell ref="B5:C5"/>
    <mergeCell ref="B8:C8"/>
    <mergeCell ref="A73:E73"/>
    <mergeCell ref="B21:C21"/>
    <mergeCell ref="B58:C58"/>
    <mergeCell ref="B61:C61"/>
    <mergeCell ref="A71:E71"/>
    <mergeCell ref="A72:E72"/>
    <mergeCell ref="A75:E75"/>
    <mergeCell ref="A74:E74"/>
  </mergeCells>
  <printOptions/>
  <pageMargins left="0.6692913385826772" right="0.15748031496062992" top="0.6692913385826772" bottom="0" header="0.5118110236220472" footer="0"/>
  <pageSetup horizontalDpi="300" verticalDpi="300" orientation="portrait" paperSize="9"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tabColor indexed="12"/>
  </sheetPr>
  <dimension ref="A1:Y26"/>
  <sheetViews>
    <sheetView showGridLines="0" workbookViewId="0" topLeftCell="C11">
      <selection activeCell="I20" sqref="I20"/>
    </sheetView>
  </sheetViews>
  <sheetFormatPr defaultColWidth="9.00390625" defaultRowHeight="12.75"/>
  <cols>
    <col min="1" max="1" width="14.625" style="1" customWidth="1"/>
    <col min="2" max="2" width="15.375" style="1" customWidth="1"/>
    <col min="3" max="3" width="14.375" style="1" customWidth="1"/>
    <col min="4" max="4" width="10.625" style="1" customWidth="1"/>
    <col min="5" max="5" width="16.125" style="1" customWidth="1"/>
    <col min="6" max="6" width="14.625" style="1" customWidth="1"/>
    <col min="7" max="7" width="11.625" style="1" customWidth="1"/>
    <col min="8" max="8" width="14.375" style="1" customWidth="1"/>
    <col min="9" max="9" width="12.125" style="1" customWidth="1"/>
    <col min="10" max="16384" width="9.125" style="1" customWidth="1"/>
  </cols>
  <sheetData>
    <row r="1" spans="1:9" s="3" customFormat="1" ht="15">
      <c r="A1" s="698" t="s">
        <v>484</v>
      </c>
      <c r="B1" s="685"/>
      <c r="C1" s="685"/>
      <c r="D1" s="685"/>
      <c r="E1" s="685"/>
      <c r="F1" s="685"/>
      <c r="G1" s="685"/>
      <c r="H1" s="685"/>
      <c r="I1" s="685"/>
    </row>
    <row r="2" spans="1:9" ht="16.5" thickBot="1">
      <c r="A2" s="15" t="s">
        <v>43</v>
      </c>
      <c r="I2" s="10" t="s">
        <v>308</v>
      </c>
    </row>
    <row r="3" spans="1:9" ht="12.75" customHeight="1" thickTop="1">
      <c r="A3" s="807" t="s">
        <v>116</v>
      </c>
      <c r="B3" s="813" t="s">
        <v>486</v>
      </c>
      <c r="C3" s="813" t="s">
        <v>487</v>
      </c>
      <c r="D3" s="813" t="s">
        <v>146</v>
      </c>
      <c r="E3" s="817" t="s">
        <v>300</v>
      </c>
      <c r="F3" s="813" t="s">
        <v>301</v>
      </c>
      <c r="G3" s="813" t="s">
        <v>146</v>
      </c>
      <c r="H3" s="809" t="s">
        <v>331</v>
      </c>
      <c r="I3" s="815" t="s">
        <v>146</v>
      </c>
    </row>
    <row r="4" spans="1:9" ht="54" customHeight="1">
      <c r="A4" s="808"/>
      <c r="B4" s="814"/>
      <c r="C4" s="814"/>
      <c r="D4" s="814"/>
      <c r="E4" s="818"/>
      <c r="F4" s="814"/>
      <c r="G4" s="814"/>
      <c r="H4" s="810"/>
      <c r="I4" s="816"/>
    </row>
    <row r="5" spans="1:9" ht="18" customHeight="1">
      <c r="A5" s="470">
        <v>1995</v>
      </c>
      <c r="B5" s="471">
        <v>34746.8</v>
      </c>
      <c r="C5" s="471">
        <f aca="true" t="shared" si="0" ref="C5:C13">+(B5/H5)*100</f>
        <v>77.63867320604632</v>
      </c>
      <c r="D5" s="471"/>
      <c r="E5" s="472">
        <v>10007.7</v>
      </c>
      <c r="F5" s="472">
        <f aca="true" t="shared" si="1" ref="F5:F13">+(E5/H5)*100</f>
        <v>22.36132679395368</v>
      </c>
      <c r="G5" s="471"/>
      <c r="H5" s="473">
        <f aca="true" t="shared" si="2" ref="H5:H13">+E5+B5</f>
        <v>44754.5</v>
      </c>
      <c r="I5" s="474"/>
    </row>
    <row r="6" spans="1:9" ht="18" customHeight="1">
      <c r="A6" s="470">
        <v>1996</v>
      </c>
      <c r="B6" s="471">
        <v>66029.5</v>
      </c>
      <c r="C6" s="471">
        <f t="shared" si="0"/>
        <v>75.08710761770901</v>
      </c>
      <c r="D6" s="471">
        <f aca="true" t="shared" si="3" ref="D6:D13">(+B6/B5)*100-100</f>
        <v>90.03044884708805</v>
      </c>
      <c r="E6" s="472">
        <v>21907.7</v>
      </c>
      <c r="F6" s="472">
        <f t="shared" si="1"/>
        <v>24.912892382291</v>
      </c>
      <c r="G6" s="471">
        <f aca="true" t="shared" si="4" ref="G6:G13">(+E6/E5)*100-100</f>
        <v>118.90844050081438</v>
      </c>
      <c r="H6" s="473">
        <f t="shared" si="2"/>
        <v>87937.2</v>
      </c>
      <c r="I6" s="474">
        <f aca="true" t="shared" si="5" ref="I6:I13">(+H6/H5)*100-100</f>
        <v>96.48795093230848</v>
      </c>
    </row>
    <row r="7" spans="1:9" ht="18" customHeight="1">
      <c r="A7" s="470">
        <v>1997</v>
      </c>
      <c r="B7" s="471">
        <v>146513.7</v>
      </c>
      <c r="C7" s="471">
        <f t="shared" si="0"/>
        <v>73.53986818270113</v>
      </c>
      <c r="D7" s="471">
        <f t="shared" si="3"/>
        <v>121.89127586911911</v>
      </c>
      <c r="E7" s="472">
        <v>52716.6</v>
      </c>
      <c r="F7" s="472">
        <f t="shared" si="1"/>
        <v>26.460131817298873</v>
      </c>
      <c r="G7" s="471">
        <f t="shared" si="4"/>
        <v>140.6304632617755</v>
      </c>
      <c r="H7" s="473">
        <f t="shared" si="2"/>
        <v>199230.30000000002</v>
      </c>
      <c r="I7" s="474">
        <f t="shared" si="5"/>
        <v>126.55974945756748</v>
      </c>
    </row>
    <row r="8" spans="1:9" ht="18" customHeight="1">
      <c r="A8" s="475">
        <v>1998</v>
      </c>
      <c r="B8" s="471">
        <v>295013.3</v>
      </c>
      <c r="C8" s="471">
        <f t="shared" si="0"/>
        <v>72.63108396390274</v>
      </c>
      <c r="D8" s="471">
        <f t="shared" si="3"/>
        <v>101.35543638581237</v>
      </c>
      <c r="E8" s="472">
        <v>111167.2</v>
      </c>
      <c r="F8" s="472">
        <f t="shared" si="1"/>
        <v>27.36891603609725</v>
      </c>
      <c r="G8" s="471">
        <f t="shared" si="4"/>
        <v>110.87702924695449</v>
      </c>
      <c r="H8" s="473">
        <f t="shared" si="2"/>
        <v>406180.5</v>
      </c>
      <c r="I8" s="474">
        <f t="shared" si="5"/>
        <v>103.8748624079771</v>
      </c>
    </row>
    <row r="9" spans="1:9" ht="18" customHeight="1">
      <c r="A9" s="475">
        <v>1999</v>
      </c>
      <c r="B9" s="471">
        <v>525626.2</v>
      </c>
      <c r="C9" s="471">
        <f t="shared" si="0"/>
        <v>70.20522920076746</v>
      </c>
      <c r="D9" s="471">
        <f t="shared" si="3"/>
        <v>78.17034011686928</v>
      </c>
      <c r="E9" s="472">
        <v>223073.3</v>
      </c>
      <c r="F9" s="472">
        <f t="shared" si="1"/>
        <v>29.794770799232534</v>
      </c>
      <c r="G9" s="471">
        <f t="shared" si="4"/>
        <v>100.66467447232634</v>
      </c>
      <c r="H9" s="473">
        <f t="shared" si="2"/>
        <v>748699.5</v>
      </c>
      <c r="I9" s="474">
        <f t="shared" si="5"/>
        <v>84.32679559949332</v>
      </c>
    </row>
    <row r="10" spans="1:9" ht="18" customHeight="1">
      <c r="A10" s="475">
        <v>2000</v>
      </c>
      <c r="B10" s="471">
        <v>872956.2</v>
      </c>
      <c r="C10" s="471">
        <f t="shared" si="0"/>
        <v>68.18964515234003</v>
      </c>
      <c r="D10" s="471">
        <f t="shared" si="3"/>
        <v>66.07927839213494</v>
      </c>
      <c r="E10" s="472">
        <v>407232.6</v>
      </c>
      <c r="F10" s="472">
        <f t="shared" si="1"/>
        <v>31.810354847659973</v>
      </c>
      <c r="G10" s="471">
        <f t="shared" si="4"/>
        <v>82.55550978086575</v>
      </c>
      <c r="H10" s="473">
        <f t="shared" si="2"/>
        <v>1280188.7999999998</v>
      </c>
      <c r="I10" s="474">
        <f t="shared" si="5"/>
        <v>70.98833377075846</v>
      </c>
    </row>
    <row r="11" spans="1:9" ht="18" customHeight="1">
      <c r="A11" s="475">
        <v>2001</v>
      </c>
      <c r="B11" s="471">
        <v>1527662.8</v>
      </c>
      <c r="C11" s="471">
        <f t="shared" si="0"/>
        <v>67.65684174051808</v>
      </c>
      <c r="D11" s="471">
        <f t="shared" si="3"/>
        <v>74.99879146284775</v>
      </c>
      <c r="E11" s="472">
        <v>730294.8</v>
      </c>
      <c r="F11" s="472">
        <f t="shared" si="1"/>
        <v>32.34315825948193</v>
      </c>
      <c r="G11" s="471">
        <f t="shared" si="4"/>
        <v>79.33112427639637</v>
      </c>
      <c r="H11" s="473">
        <f t="shared" si="2"/>
        <v>2257957.6</v>
      </c>
      <c r="I11" s="474">
        <f t="shared" si="5"/>
        <v>76.37692190401918</v>
      </c>
    </row>
    <row r="12" spans="1:9" ht="18" customHeight="1">
      <c r="A12" s="475">
        <v>2002</v>
      </c>
      <c r="B12" s="471">
        <v>2532071.1</v>
      </c>
      <c r="C12" s="471">
        <f t="shared" si="0"/>
        <v>70.44586725149561</v>
      </c>
      <c r="D12" s="471">
        <f t="shared" si="3"/>
        <v>65.74803680498079</v>
      </c>
      <c r="E12" s="472">
        <f>807771+254508</f>
        <v>1062279</v>
      </c>
      <c r="F12" s="472">
        <f t="shared" si="1"/>
        <v>29.55413274850438</v>
      </c>
      <c r="G12" s="471">
        <f t="shared" si="4"/>
        <v>45.45892973632019</v>
      </c>
      <c r="H12" s="473">
        <f t="shared" si="2"/>
        <v>3594350.1</v>
      </c>
      <c r="I12" s="474">
        <f t="shared" si="5"/>
        <v>59.18589879632813</v>
      </c>
    </row>
    <row r="13" spans="1:9" ht="18" customHeight="1">
      <c r="A13" s="475">
        <v>2003</v>
      </c>
      <c r="B13" s="471">
        <v>3485630.5</v>
      </c>
      <c r="C13" s="471">
        <f t="shared" si="0"/>
        <v>69.9758072046064</v>
      </c>
      <c r="D13" s="471">
        <f t="shared" si="3"/>
        <v>37.659266361043336</v>
      </c>
      <c r="E13" s="472">
        <v>1495563.2</v>
      </c>
      <c r="F13" s="472">
        <f t="shared" si="1"/>
        <v>30.0241927953936</v>
      </c>
      <c r="G13" s="471">
        <f t="shared" si="4"/>
        <v>40.78817335182188</v>
      </c>
      <c r="H13" s="473">
        <f t="shared" si="2"/>
        <v>4981193.7</v>
      </c>
      <c r="I13" s="474">
        <f t="shared" si="5"/>
        <v>38.58398768667527</v>
      </c>
    </row>
    <row r="14" spans="1:9" ht="18" customHeight="1" thickBot="1">
      <c r="A14" s="476">
        <v>2004</v>
      </c>
      <c r="B14" s="477">
        <f>+H14-E14</f>
        <v>4024229.128</v>
      </c>
      <c r="C14" s="477">
        <f>+(B14/H14)*100</f>
        <v>60.64521581851837</v>
      </c>
      <c r="D14" s="477">
        <f>(+B14/B13)*100-100</f>
        <v>15.451971400869937</v>
      </c>
      <c r="E14" s="478">
        <v>2611461.872</v>
      </c>
      <c r="F14" s="478">
        <f>+(E14/H14)*100</f>
        <v>39.35478418148163</v>
      </c>
      <c r="G14" s="477">
        <f>(+E14/E13)*100-100</f>
        <v>74.61394289455637</v>
      </c>
      <c r="H14" s="479">
        <v>6635691</v>
      </c>
      <c r="I14" s="480">
        <f>(+H14/H13)*100-100</f>
        <v>33.21487578369016</v>
      </c>
    </row>
    <row r="15" spans="1:9" s="259" customFormat="1" ht="18" customHeight="1" thickBot="1" thickTop="1">
      <c r="A15" s="261" t="s">
        <v>792</v>
      </c>
      <c r="B15" s="262"/>
      <c r="C15" s="262"/>
      <c r="D15" s="262"/>
      <c r="E15" s="263"/>
      <c r="F15" s="263"/>
      <c r="G15" s="262"/>
      <c r="H15" s="260"/>
      <c r="I15" s="258" t="s">
        <v>791</v>
      </c>
    </row>
    <row r="16" spans="1:9" ht="14.25" customHeight="1" thickTop="1">
      <c r="A16" s="805" t="s">
        <v>116</v>
      </c>
      <c r="B16" s="801" t="s">
        <v>482</v>
      </c>
      <c r="C16" s="801" t="s">
        <v>483</v>
      </c>
      <c r="D16" s="801" t="s">
        <v>146</v>
      </c>
      <c r="E16" s="797" t="s">
        <v>472</v>
      </c>
      <c r="F16" s="799" t="s">
        <v>473</v>
      </c>
      <c r="G16" s="801" t="s">
        <v>146</v>
      </c>
      <c r="H16" s="803" t="s">
        <v>86</v>
      </c>
      <c r="I16" s="811" t="s">
        <v>146</v>
      </c>
    </row>
    <row r="17" spans="1:9" ht="59.25" customHeight="1">
      <c r="A17" s="806"/>
      <c r="B17" s="802"/>
      <c r="C17" s="802"/>
      <c r="D17" s="802"/>
      <c r="E17" s="798"/>
      <c r="F17" s="800"/>
      <c r="G17" s="802"/>
      <c r="H17" s="804"/>
      <c r="I17" s="812"/>
    </row>
    <row r="18" spans="1:9" s="99" customFormat="1" ht="18" customHeight="1">
      <c r="A18" s="104" t="s">
        <v>333</v>
      </c>
      <c r="B18" s="100">
        <f>+H18-E18</f>
        <v>1355206</v>
      </c>
      <c r="C18" s="100">
        <f>+(B18/H18)*100</f>
        <v>18.173352795756532</v>
      </c>
      <c r="D18" s="105">
        <f>(+B18/B14)*100-100</f>
        <v>-66.32383602189364</v>
      </c>
      <c r="E18" s="101">
        <f>3430913+2670986</f>
        <v>6101899</v>
      </c>
      <c r="F18" s="101">
        <f>+(E18/H18)*100</f>
        <v>81.82664720424347</v>
      </c>
      <c r="G18" s="100">
        <f>(+E18/E14)*100-100</f>
        <v>133.65836068388904</v>
      </c>
      <c r="H18" s="102">
        <f>7677105-220000</f>
        <v>7457105</v>
      </c>
      <c r="I18" s="103">
        <f>(+H18/H14)*100-100</f>
        <v>12.378725893053172</v>
      </c>
    </row>
    <row r="19" spans="1:9" s="99" customFormat="1" ht="18" customHeight="1">
      <c r="A19" s="104">
        <v>2006</v>
      </c>
      <c r="B19" s="100">
        <f>+H19-E19</f>
        <v>160000</v>
      </c>
      <c r="C19" s="100">
        <f>+(B19/H19)*100</f>
        <v>1.4199748753195498</v>
      </c>
      <c r="D19" s="105">
        <f>(+B19/B18)*100-100</f>
        <v>-88.1936768284674</v>
      </c>
      <c r="E19" s="101">
        <f>5249028+2175275+3683502</f>
        <v>11107805</v>
      </c>
      <c r="F19" s="101">
        <f>+(E19/H19)*100</f>
        <v>98.58002512468045</v>
      </c>
      <c r="G19" s="100">
        <f>(+E19/E18)*100-100</f>
        <v>82.0384932625073</v>
      </c>
      <c r="H19" s="102">
        <f>11699805-432000</f>
        <v>11267805</v>
      </c>
      <c r="I19" s="103">
        <f>(+H19/H18)*100-100</f>
        <v>51.10160042000214</v>
      </c>
    </row>
    <row r="20" spans="1:9" s="99" customFormat="1" ht="18" customHeight="1">
      <c r="A20" s="104" t="s">
        <v>787</v>
      </c>
      <c r="B20" s="100">
        <f>+H20-E20</f>
        <v>215999</v>
      </c>
      <c r="C20" s="100">
        <f>+(B20/H20)*100</f>
        <v>1.5816844196919448</v>
      </c>
      <c r="D20" s="105">
        <f>(+B20/B19)*100-100</f>
        <v>34.999375000000015</v>
      </c>
      <c r="E20" s="101">
        <f>5928491+4682573+1513400+853879+461922</f>
        <v>13440265</v>
      </c>
      <c r="F20" s="101">
        <f>+(E20/H20)*100</f>
        <v>98.41831558030806</v>
      </c>
      <c r="G20" s="100">
        <f>(+E20/E19)*100-100</f>
        <v>20.99838807037034</v>
      </c>
      <c r="H20" s="102">
        <v>13656264</v>
      </c>
      <c r="I20" s="103">
        <f>(+H20/H19)*100-100</f>
        <v>21.197198567067858</v>
      </c>
    </row>
    <row r="21" spans="1:9" ht="31.5" customHeight="1">
      <c r="A21" s="791" t="s">
        <v>470</v>
      </c>
      <c r="B21" s="791"/>
      <c r="C21" s="791"/>
      <c r="D21" s="791"/>
      <c r="E21" s="791"/>
      <c r="F21" s="791"/>
      <c r="G21" s="791"/>
      <c r="H21" s="791"/>
      <c r="I21" s="791"/>
    </row>
    <row r="22" spans="1:25" ht="12.75">
      <c r="A22" s="796" t="s">
        <v>812</v>
      </c>
      <c r="B22" s="796"/>
      <c r="C22" s="796"/>
      <c r="D22" s="796"/>
      <c r="E22" s="796"/>
      <c r="F22" s="796"/>
      <c r="G22" s="796"/>
      <c r="H22" s="796"/>
      <c r="I22" s="796"/>
      <c r="J22" s="87"/>
      <c r="K22" s="87"/>
      <c r="L22" s="87"/>
      <c r="M22" s="87"/>
      <c r="N22" s="87"/>
      <c r="O22" s="87"/>
      <c r="P22" s="87"/>
      <c r="Q22" s="87"/>
      <c r="R22" s="87"/>
      <c r="S22" s="87"/>
      <c r="T22" s="87"/>
      <c r="U22" s="87"/>
      <c r="V22" s="87"/>
      <c r="W22" s="87"/>
      <c r="X22" s="87"/>
      <c r="Y22" s="87"/>
    </row>
    <row r="23" spans="1:9" ht="39.75" customHeight="1">
      <c r="A23" s="791" t="s">
        <v>813</v>
      </c>
      <c r="B23" s="791"/>
      <c r="C23" s="791"/>
      <c r="D23" s="791"/>
      <c r="E23" s="791"/>
      <c r="F23" s="791"/>
      <c r="G23" s="791"/>
      <c r="H23" s="791"/>
      <c r="I23" s="791"/>
    </row>
    <row r="24" spans="1:9" ht="12" customHeight="1">
      <c r="A24" s="1" t="s">
        <v>10</v>
      </c>
      <c r="B24" s="252"/>
      <c r="C24" s="252"/>
      <c r="D24" s="252"/>
      <c r="E24" s="252"/>
      <c r="F24" s="252"/>
      <c r="G24" s="252"/>
      <c r="H24" s="252"/>
      <c r="I24" s="252"/>
    </row>
    <row r="25" ht="12" customHeight="1">
      <c r="A25" s="1" t="s">
        <v>68</v>
      </c>
    </row>
    <row r="26" ht="12.75">
      <c r="A26" s="1" t="s">
        <v>811</v>
      </c>
    </row>
  </sheetData>
  <mergeCells count="22">
    <mergeCell ref="B3:B4"/>
    <mergeCell ref="C3:C4"/>
    <mergeCell ref="B16:B17"/>
    <mergeCell ref="C16:C17"/>
    <mergeCell ref="A1:I1"/>
    <mergeCell ref="A3:A4"/>
    <mergeCell ref="H3:H4"/>
    <mergeCell ref="I16:I17"/>
    <mergeCell ref="D16:D17"/>
    <mergeCell ref="F3:F4"/>
    <mergeCell ref="G3:G4"/>
    <mergeCell ref="I3:I4"/>
    <mergeCell ref="D3:D4"/>
    <mergeCell ref="E3:E4"/>
    <mergeCell ref="A22:I22"/>
    <mergeCell ref="A23:I23"/>
    <mergeCell ref="A21:I21"/>
    <mergeCell ref="E16:E17"/>
    <mergeCell ref="F16:F17"/>
    <mergeCell ref="G16:G17"/>
    <mergeCell ref="H16:H17"/>
    <mergeCell ref="A16:A17"/>
  </mergeCells>
  <printOptions/>
  <pageMargins left="0.7480314960629921" right="0.7480314960629921" top="0.35433070866141736" bottom="0" header="0" footer="0"/>
  <pageSetup horizontalDpi="300" verticalDpi="300" orientation="landscape"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12"/>
  </sheetPr>
  <dimension ref="A1:J21"/>
  <sheetViews>
    <sheetView showGridLines="0" workbookViewId="0" topLeftCell="A1">
      <selection activeCell="A19" sqref="A19:G19"/>
    </sheetView>
  </sheetViews>
  <sheetFormatPr defaultColWidth="9.00390625" defaultRowHeight="12.75"/>
  <cols>
    <col min="1" max="1" width="12.625" style="1" customWidth="1"/>
    <col min="2" max="2" width="14.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9" width="9.125" style="1" customWidth="1"/>
    <col min="10" max="10" width="18.625" style="114" customWidth="1"/>
    <col min="11" max="12" width="9.125" style="1" customWidth="1"/>
    <col min="13" max="13" width="10.00390625" style="1" customWidth="1"/>
    <col min="14" max="15" width="10.375" style="1" customWidth="1"/>
    <col min="16" max="16" width="10.125" style="1" customWidth="1"/>
    <col min="17" max="16384" width="9.125" style="1" customWidth="1"/>
  </cols>
  <sheetData>
    <row r="1" spans="1:10" s="3" customFormat="1" ht="17.25" customHeight="1">
      <c r="A1" s="819" t="s">
        <v>476</v>
      </c>
      <c r="B1" s="685"/>
      <c r="C1" s="685"/>
      <c r="D1" s="685"/>
      <c r="E1" s="685"/>
      <c r="F1" s="685"/>
      <c r="G1" s="685"/>
      <c r="J1" s="305"/>
    </row>
    <row r="2" spans="1:10" s="3" customFormat="1" ht="6.75" customHeight="1">
      <c r="A2" s="68"/>
      <c r="J2" s="305"/>
    </row>
    <row r="3" spans="1:10" s="3" customFormat="1" ht="18" customHeight="1" thickBot="1">
      <c r="A3" s="15" t="s">
        <v>44</v>
      </c>
      <c r="F3" s="69"/>
      <c r="J3" s="305"/>
    </row>
    <row r="4" spans="1:7" ht="19.5" customHeight="1" thickTop="1">
      <c r="A4" s="825" t="s">
        <v>116</v>
      </c>
      <c r="B4" s="481" t="s">
        <v>107</v>
      </c>
      <c r="C4" s="823" t="s">
        <v>480</v>
      </c>
      <c r="D4" s="823"/>
      <c r="E4" s="823"/>
      <c r="F4" s="481"/>
      <c r="G4" s="482"/>
    </row>
    <row r="5" spans="1:7" ht="43.5" customHeight="1">
      <c r="A5" s="826"/>
      <c r="B5" s="483" t="s">
        <v>475</v>
      </c>
      <c r="C5" s="484" t="s">
        <v>477</v>
      </c>
      <c r="D5" s="484" t="s">
        <v>478</v>
      </c>
      <c r="E5" s="484" t="s">
        <v>479</v>
      </c>
      <c r="F5" s="483" t="s">
        <v>306</v>
      </c>
      <c r="G5" s="485" t="s">
        <v>307</v>
      </c>
    </row>
    <row r="6" spans="1:7" ht="18" customHeight="1">
      <c r="A6" s="486">
        <v>1995</v>
      </c>
      <c r="B6" s="462">
        <v>44754.5</v>
      </c>
      <c r="C6" s="462">
        <v>17141.8</v>
      </c>
      <c r="D6" s="487" t="s">
        <v>147</v>
      </c>
      <c r="E6" s="487">
        <f aca="true" t="shared" si="0" ref="E6:E14">+C6/B6*100</f>
        <v>38.301846741668435</v>
      </c>
      <c r="F6" s="488"/>
      <c r="G6" s="489"/>
    </row>
    <row r="7" spans="1:7" ht="18" customHeight="1">
      <c r="A7" s="486">
        <v>1996</v>
      </c>
      <c r="B7" s="462">
        <v>87937.2</v>
      </c>
      <c r="C7" s="462">
        <f aca="true" t="shared" si="1" ref="C7:C14">+F7+G7</f>
        <v>32033.6</v>
      </c>
      <c r="D7" s="487">
        <f aca="true" t="shared" si="2" ref="D7:D14">+(C7/C6)*100-100</f>
        <v>86.87419057508546</v>
      </c>
      <c r="E7" s="487">
        <f t="shared" si="0"/>
        <v>36.42781439481812</v>
      </c>
      <c r="F7" s="462">
        <v>27439.3</v>
      </c>
      <c r="G7" s="464">
        <v>4594.3</v>
      </c>
    </row>
    <row r="8" spans="1:7" ht="18" customHeight="1">
      <c r="A8" s="486">
        <v>1997</v>
      </c>
      <c r="B8" s="462">
        <v>199230.4</v>
      </c>
      <c r="C8" s="462">
        <f t="shared" si="1"/>
        <v>71224.4</v>
      </c>
      <c r="D8" s="487">
        <f t="shared" si="2"/>
        <v>122.34279007042605</v>
      </c>
      <c r="E8" s="487">
        <f t="shared" si="0"/>
        <v>35.74976509608975</v>
      </c>
      <c r="F8" s="462">
        <v>60064.7</v>
      </c>
      <c r="G8" s="464">
        <v>11159.7</v>
      </c>
    </row>
    <row r="9" spans="1:7" ht="18" customHeight="1">
      <c r="A9" s="490">
        <v>1998</v>
      </c>
      <c r="B9" s="462">
        <v>406180.4</v>
      </c>
      <c r="C9" s="462">
        <f t="shared" si="1"/>
        <v>165584.5</v>
      </c>
      <c r="D9" s="487">
        <f t="shared" si="2"/>
        <v>132.48282891817973</v>
      </c>
      <c r="E9" s="487">
        <f t="shared" si="0"/>
        <v>40.76624573711582</v>
      </c>
      <c r="F9" s="462">
        <v>138100</v>
      </c>
      <c r="G9" s="464">
        <v>27484.5</v>
      </c>
    </row>
    <row r="10" spans="1:7" ht="18" customHeight="1">
      <c r="A10" s="490">
        <v>1999</v>
      </c>
      <c r="B10" s="462" t="s">
        <v>302</v>
      </c>
      <c r="C10" s="462">
        <f t="shared" si="1"/>
        <v>304016.7</v>
      </c>
      <c r="D10" s="487">
        <f t="shared" si="2"/>
        <v>83.60214875184576</v>
      </c>
      <c r="E10" s="487">
        <f t="shared" si="0"/>
        <v>40.6059707532862</v>
      </c>
      <c r="F10" s="462">
        <v>247198.1</v>
      </c>
      <c r="G10" s="464">
        <v>56818.6</v>
      </c>
    </row>
    <row r="11" spans="1:7" ht="18" customHeight="1">
      <c r="A11" s="490">
        <v>2000</v>
      </c>
      <c r="B11" s="462">
        <v>1280188.8</v>
      </c>
      <c r="C11" s="462">
        <f t="shared" si="1"/>
        <v>572409.2999999999</v>
      </c>
      <c r="D11" s="487">
        <f t="shared" si="2"/>
        <v>88.2821897612861</v>
      </c>
      <c r="E11" s="487">
        <f t="shared" si="0"/>
        <v>44.71288141249165</v>
      </c>
      <c r="F11" s="462">
        <v>445379.1</v>
      </c>
      <c r="G11" s="464">
        <v>127030.2</v>
      </c>
    </row>
    <row r="12" spans="1:7" ht="18" customHeight="1">
      <c r="A12" s="490">
        <v>2001</v>
      </c>
      <c r="B12" s="462">
        <v>2257957.6</v>
      </c>
      <c r="C12" s="462">
        <f t="shared" si="1"/>
        <v>992615.6000000001</v>
      </c>
      <c r="D12" s="487">
        <f t="shared" si="2"/>
        <v>73.4101105624944</v>
      </c>
      <c r="E12" s="487">
        <f t="shared" si="0"/>
        <v>43.96077233691191</v>
      </c>
      <c r="F12" s="462">
        <v>770999.4</v>
      </c>
      <c r="G12" s="464">
        <v>221616.2</v>
      </c>
    </row>
    <row r="13" spans="1:7" ht="18" customHeight="1">
      <c r="A13" s="490">
        <v>2002</v>
      </c>
      <c r="B13" s="462">
        <f>+'[2](19)'!$H$12</f>
        <v>3594350.1</v>
      </c>
      <c r="C13" s="462">
        <v>1878558.2</v>
      </c>
      <c r="D13" s="487">
        <f t="shared" si="2"/>
        <v>89.25334238148179</v>
      </c>
      <c r="E13" s="487">
        <f t="shared" si="0"/>
        <v>52.26419652331585</v>
      </c>
      <c r="F13" s="462">
        <v>1553767.4</v>
      </c>
      <c r="G13" s="464">
        <v>324790.8</v>
      </c>
    </row>
    <row r="14" spans="1:7" ht="18" customHeight="1">
      <c r="A14" s="490">
        <v>2003</v>
      </c>
      <c r="B14" s="462">
        <f>+'[2](19)'!H13</f>
        <v>4981193.7</v>
      </c>
      <c r="C14" s="462">
        <f t="shared" si="1"/>
        <v>2101495.7</v>
      </c>
      <c r="D14" s="487">
        <f t="shared" si="2"/>
        <v>11.867479005973848</v>
      </c>
      <c r="E14" s="487">
        <f t="shared" si="0"/>
        <v>42.18859627964277</v>
      </c>
      <c r="F14" s="462">
        <v>1662127.6</v>
      </c>
      <c r="G14" s="464">
        <v>439368.1</v>
      </c>
    </row>
    <row r="15" spans="1:7" ht="18" customHeight="1">
      <c r="A15" s="490">
        <v>2004</v>
      </c>
      <c r="B15" s="462">
        <f>+'[2](19)'!H14</f>
        <v>6635691</v>
      </c>
      <c r="C15" s="462">
        <f>+F15+G15</f>
        <v>2687750.1</v>
      </c>
      <c r="D15" s="487">
        <f>+(C15/C14)*100-100</f>
        <v>27.897006879433533</v>
      </c>
      <c r="E15" s="487">
        <f>+C15/B15*100</f>
        <v>40.504449348229144</v>
      </c>
      <c r="F15" s="462">
        <v>2159597.5</v>
      </c>
      <c r="G15" s="464">
        <v>528152.6</v>
      </c>
    </row>
    <row r="16" spans="1:7" ht="18" customHeight="1">
      <c r="A16" s="490" t="s">
        <v>125</v>
      </c>
      <c r="B16" s="462">
        <f>+'19'!H18</f>
        <v>7457105</v>
      </c>
      <c r="C16" s="462">
        <f>+F16+G16</f>
        <v>3552939</v>
      </c>
      <c r="D16" s="487">
        <f>+(C16/C15)*100-100</f>
        <v>32.19007972504585</v>
      </c>
      <c r="E16" s="487">
        <f>+C16/B16*100</f>
        <v>47.64501773811687</v>
      </c>
      <c r="F16" s="462">
        <v>881953</v>
      </c>
      <c r="G16" s="464">
        <v>2670986</v>
      </c>
    </row>
    <row r="17" spans="1:7" ht="33.75" customHeight="1">
      <c r="A17" s="491" t="s">
        <v>803</v>
      </c>
      <c r="B17" s="462">
        <f>+'19'!H19</f>
        <v>11267805</v>
      </c>
      <c r="C17" s="462">
        <f>+F17+G17</f>
        <v>5249028</v>
      </c>
      <c r="D17" s="487">
        <f>+(C17/C16)*100-100</f>
        <v>47.737633547888095</v>
      </c>
      <c r="E17" s="487">
        <f>+C17/B17*100</f>
        <v>46.584299249055164</v>
      </c>
      <c r="F17" s="492">
        <v>0</v>
      </c>
      <c r="G17" s="493">
        <v>5249028</v>
      </c>
    </row>
    <row r="18" spans="1:7" ht="33.75" customHeight="1" thickBot="1">
      <c r="A18" s="491" t="s">
        <v>804</v>
      </c>
      <c r="B18" s="462">
        <f>+'19'!H20</f>
        <v>13656264</v>
      </c>
      <c r="C18" s="462">
        <f>+F18+G18</f>
        <v>5928491</v>
      </c>
      <c r="D18" s="487">
        <f>+(C18/C17)*100-100</f>
        <v>12.944548971733425</v>
      </c>
      <c r="E18" s="487">
        <f>+C18/B18*100</f>
        <v>43.41224657051153</v>
      </c>
      <c r="F18" s="492">
        <v>0</v>
      </c>
      <c r="G18" s="493">
        <v>5928491</v>
      </c>
    </row>
    <row r="19" spans="1:7" ht="17.25" customHeight="1" thickTop="1">
      <c r="A19" s="820" t="s">
        <v>481</v>
      </c>
      <c r="B19" s="820"/>
      <c r="C19" s="820"/>
      <c r="D19" s="820"/>
      <c r="E19" s="820"/>
      <c r="F19" s="820"/>
      <c r="G19" s="820"/>
    </row>
    <row r="20" spans="1:7" ht="41.25" customHeight="1">
      <c r="A20" s="824" t="s">
        <v>566</v>
      </c>
      <c r="B20" s="824"/>
      <c r="C20" s="824"/>
      <c r="D20" s="824"/>
      <c r="E20" s="824"/>
      <c r="F20" s="824"/>
      <c r="G20" s="824"/>
    </row>
    <row r="21" spans="1:9" ht="22.5" customHeight="1">
      <c r="A21" s="821" t="s">
        <v>11</v>
      </c>
      <c r="B21" s="822"/>
      <c r="C21" s="822"/>
      <c r="D21" s="822"/>
      <c r="E21" s="822"/>
      <c r="F21" s="822"/>
      <c r="G21" s="822"/>
      <c r="H21" s="106"/>
      <c r="I21" s="106"/>
    </row>
  </sheetData>
  <mergeCells count="6">
    <mergeCell ref="A1:G1"/>
    <mergeCell ref="A19:G19"/>
    <mergeCell ref="A21:G21"/>
    <mergeCell ref="C4:E4"/>
    <mergeCell ref="A20:G20"/>
    <mergeCell ref="A4:A5"/>
  </mergeCells>
  <printOptions/>
  <pageMargins left="0.7480314960629921" right="0.7480314960629921" top="0.984251968503937" bottom="0.3937007874015748" header="0.5118110236220472" footer="0"/>
  <pageSetup horizontalDpi="300" verticalDpi="300" orientation="portrait" paperSize="9" scale="95" r:id="rId2"/>
  <headerFooter alignWithMargins="0">
    <oddFooter>&amp;C&amp;A</oddFooter>
  </headerFooter>
  <ignoredErrors>
    <ignoredError sqref="B10" numberStoredAsText="1"/>
  </ignoredErrors>
  <drawing r:id="rId1"/>
</worksheet>
</file>

<file path=xl/worksheets/sheet23.xml><?xml version="1.0" encoding="utf-8"?>
<worksheet xmlns="http://schemas.openxmlformats.org/spreadsheetml/2006/main" xmlns:r="http://schemas.openxmlformats.org/officeDocument/2006/relationships">
  <sheetPr>
    <tabColor indexed="12"/>
  </sheetPr>
  <dimension ref="A1:F15"/>
  <sheetViews>
    <sheetView showGridLines="0" workbookViewId="0" topLeftCell="A1">
      <selection activeCell="A2" sqref="A2"/>
    </sheetView>
  </sheetViews>
  <sheetFormatPr defaultColWidth="9.00390625" defaultRowHeight="12.75"/>
  <cols>
    <col min="1" max="1" width="20.625" style="1" customWidth="1"/>
    <col min="2" max="2" width="12.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6" ht="16.5" customHeight="1">
      <c r="A1" s="660" t="s">
        <v>459</v>
      </c>
      <c r="B1" s="663"/>
      <c r="C1" s="663"/>
      <c r="D1" s="663"/>
      <c r="E1" s="663"/>
      <c r="F1" s="663"/>
    </row>
    <row r="2" spans="1:6" ht="6" customHeight="1">
      <c r="A2" s="67"/>
      <c r="B2" s="107"/>
      <c r="C2" s="107"/>
      <c r="D2" s="107"/>
      <c r="E2" s="107"/>
      <c r="F2" s="107"/>
    </row>
    <row r="3" ht="15.75" customHeight="1" thickBot="1">
      <c r="A3" s="15" t="s">
        <v>45</v>
      </c>
    </row>
    <row r="4" spans="1:6" ht="21.75" customHeight="1" thickTop="1">
      <c r="A4" s="347"/>
      <c r="B4" s="348">
        <v>2000</v>
      </c>
      <c r="C4" s="348">
        <v>2001</v>
      </c>
      <c r="D4" s="348">
        <v>2002</v>
      </c>
      <c r="E4" s="494">
        <v>2003</v>
      </c>
      <c r="F4" s="495">
        <v>2004</v>
      </c>
    </row>
    <row r="5" spans="1:6" ht="12.75" customHeight="1">
      <c r="A5" s="496" t="s">
        <v>293</v>
      </c>
      <c r="B5" s="497">
        <v>51114155</v>
      </c>
      <c r="C5" s="497">
        <v>58874712</v>
      </c>
      <c r="D5" s="497">
        <v>65983747</v>
      </c>
      <c r="E5" s="497">
        <v>68493705</v>
      </c>
      <c r="F5" s="498">
        <f>57819958+2680785</f>
        <v>60500743</v>
      </c>
    </row>
    <row r="6" spans="1:6" ht="16.5" customHeight="1">
      <c r="A6" s="496" t="s">
        <v>294</v>
      </c>
      <c r="B6" s="497">
        <v>1222366</v>
      </c>
      <c r="C6" s="497">
        <v>1373097</v>
      </c>
      <c r="D6" s="497">
        <v>1444189</v>
      </c>
      <c r="E6" s="497">
        <v>1499940</v>
      </c>
      <c r="F6" s="498">
        <v>1367977</v>
      </c>
    </row>
    <row r="7" spans="1:6" ht="16.5" customHeight="1">
      <c r="A7" s="496" t="s">
        <v>295</v>
      </c>
      <c r="B7" s="497">
        <v>6863798</v>
      </c>
      <c r="C7" s="497">
        <v>7918170</v>
      </c>
      <c r="D7" s="497">
        <v>8103826</v>
      </c>
      <c r="E7" s="497">
        <v>8133344</v>
      </c>
      <c r="F7" s="498">
        <v>7790522</v>
      </c>
    </row>
    <row r="8" spans="1:6" ht="16.5" customHeight="1">
      <c r="A8" s="496" t="s">
        <v>296</v>
      </c>
      <c r="B8" s="497">
        <v>409174</v>
      </c>
      <c r="C8" s="497">
        <v>521433</v>
      </c>
      <c r="D8" s="497">
        <v>567082</v>
      </c>
      <c r="E8" s="497">
        <v>599036</v>
      </c>
      <c r="F8" s="498">
        <v>518375</v>
      </c>
    </row>
    <row r="9" spans="1:6" ht="16.5" customHeight="1">
      <c r="A9" s="496" t="s">
        <v>297</v>
      </c>
      <c r="B9" s="497">
        <v>213727</v>
      </c>
      <c r="C9" s="497">
        <v>232176</v>
      </c>
      <c r="D9" s="497">
        <v>209622</v>
      </c>
      <c r="E9" s="497">
        <v>211813</v>
      </c>
      <c r="F9" s="498">
        <v>168835</v>
      </c>
    </row>
    <row r="10" spans="1:6" ht="16.5" customHeight="1">
      <c r="A10" s="496" t="s">
        <v>298</v>
      </c>
      <c r="B10" s="497">
        <v>34479848</v>
      </c>
      <c r="C10" s="497">
        <v>40784832</v>
      </c>
      <c r="D10" s="497">
        <v>45752762</v>
      </c>
      <c r="E10" s="497">
        <v>47258455</v>
      </c>
      <c r="F10" s="498">
        <v>51050571</v>
      </c>
    </row>
    <row r="11" spans="1:6" ht="16.5" customHeight="1">
      <c r="A11" s="496" t="s">
        <v>322</v>
      </c>
      <c r="B11" s="497">
        <v>150524728</v>
      </c>
      <c r="C11" s="497">
        <v>170834104</v>
      </c>
      <c r="D11" s="497">
        <v>192667574</v>
      </c>
      <c r="E11" s="497">
        <v>189403285</v>
      </c>
      <c r="F11" s="498">
        <v>200419349</v>
      </c>
    </row>
    <row r="12" spans="1:6" ht="16.5" customHeight="1">
      <c r="A12" s="496" t="s">
        <v>299</v>
      </c>
      <c r="B12" s="497">
        <v>4820519</v>
      </c>
      <c r="C12" s="497">
        <v>5463568</v>
      </c>
      <c r="D12" s="497">
        <v>6046453</v>
      </c>
      <c r="E12" s="497">
        <v>6200403</v>
      </c>
      <c r="F12" s="498">
        <v>5797877</v>
      </c>
    </row>
    <row r="13" spans="1:6" ht="16.5" customHeight="1" thickBot="1">
      <c r="A13" s="499" t="s">
        <v>323</v>
      </c>
      <c r="B13" s="500">
        <v>31261137</v>
      </c>
      <c r="C13" s="500">
        <v>42896256</v>
      </c>
      <c r="D13" s="500">
        <v>51498202</v>
      </c>
      <c r="E13" s="500">
        <v>48650310</v>
      </c>
      <c r="F13" s="501">
        <v>47170815</v>
      </c>
    </row>
    <row r="14" spans="1:6" ht="21.75" customHeight="1" thickTop="1">
      <c r="A14" s="827" t="s">
        <v>324</v>
      </c>
      <c r="B14" s="828"/>
      <c r="C14" s="828"/>
      <c r="D14" s="828"/>
      <c r="E14" s="828"/>
      <c r="F14" s="828"/>
    </row>
    <row r="15" spans="1:6" ht="24" customHeight="1">
      <c r="A15" s="829" t="s">
        <v>325</v>
      </c>
      <c r="B15" s="830"/>
      <c r="C15" s="830"/>
      <c r="D15" s="830"/>
      <c r="E15" s="830"/>
      <c r="F15" s="830"/>
    </row>
  </sheetData>
  <mergeCells count="3">
    <mergeCell ref="A1:F1"/>
    <mergeCell ref="A14:F14"/>
    <mergeCell ref="A15:F15"/>
  </mergeCells>
  <printOptions/>
  <pageMargins left="0.75" right="0.75" top="1.06" bottom="1" header="0.5" footer="0.5"/>
  <pageSetup horizontalDpi="300" verticalDpi="300" orientation="portrait" paperSize="9"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tabColor indexed="39"/>
  </sheetPr>
  <dimension ref="A1:I34"/>
  <sheetViews>
    <sheetView showGridLines="0" workbookViewId="0" topLeftCell="A19">
      <selection activeCell="A26" sqref="A26:I26"/>
    </sheetView>
  </sheetViews>
  <sheetFormatPr defaultColWidth="9.00390625" defaultRowHeight="12.75"/>
  <cols>
    <col min="1" max="1" width="14.375" style="1" customWidth="1"/>
    <col min="2" max="2" width="10.75390625" style="1" customWidth="1"/>
    <col min="3" max="3" width="6.875" style="1" customWidth="1"/>
    <col min="4" max="4" width="10.125" style="1" customWidth="1"/>
    <col min="5" max="5" width="9.00390625" style="1" customWidth="1"/>
    <col min="6" max="6" width="10.00390625" style="1" customWidth="1"/>
    <col min="7" max="7" width="7.875" style="1" customWidth="1"/>
    <col min="8" max="8" width="6.75390625" style="1" customWidth="1"/>
    <col min="9" max="9" width="9.25390625" style="1" customWidth="1"/>
    <col min="10" max="16384" width="9.125" style="1" customWidth="1"/>
  </cols>
  <sheetData>
    <row r="1" spans="1:9" s="3" customFormat="1" ht="15">
      <c r="A1" s="792" t="s">
        <v>338</v>
      </c>
      <c r="B1" s="702"/>
      <c r="C1" s="702"/>
      <c r="D1" s="702"/>
      <c r="E1" s="702"/>
      <c r="F1" s="702"/>
      <c r="G1" s="702"/>
      <c r="H1" s="702"/>
      <c r="I1" s="702"/>
    </row>
    <row r="2" spans="1:9" ht="18" customHeight="1">
      <c r="A2" s="841" t="s">
        <v>339</v>
      </c>
      <c r="B2" s="704"/>
      <c r="C2" s="704"/>
      <c r="D2" s="704"/>
      <c r="E2" s="704"/>
      <c r="F2" s="704"/>
      <c r="G2" s="704"/>
      <c r="H2" s="704"/>
      <c r="I2" s="704"/>
    </row>
    <row r="3" spans="1:9" ht="24.75" customHeight="1" thickBot="1">
      <c r="A3" s="15" t="s">
        <v>46</v>
      </c>
      <c r="I3" s="112" t="s">
        <v>340</v>
      </c>
    </row>
    <row r="4" spans="1:9" ht="42" customHeight="1" thickTop="1">
      <c r="A4" s="838" t="s">
        <v>341</v>
      </c>
      <c r="B4" s="832" t="s">
        <v>342</v>
      </c>
      <c r="C4" s="832"/>
      <c r="D4" s="842" t="s">
        <v>343</v>
      </c>
      <c r="E4" s="842"/>
      <c r="F4" s="832" t="s">
        <v>344</v>
      </c>
      <c r="G4" s="832"/>
      <c r="H4" s="832" t="s">
        <v>86</v>
      </c>
      <c r="I4" s="833"/>
    </row>
    <row r="5" spans="1:9" ht="39.75" customHeight="1">
      <c r="A5" s="839"/>
      <c r="B5" s="502" t="s">
        <v>345</v>
      </c>
      <c r="C5" s="503" t="s">
        <v>346</v>
      </c>
      <c r="D5" s="503" t="s">
        <v>345</v>
      </c>
      <c r="E5" s="503" t="s">
        <v>346</v>
      </c>
      <c r="F5" s="503" t="s">
        <v>345</v>
      </c>
      <c r="G5" s="503" t="s">
        <v>346</v>
      </c>
      <c r="H5" s="503" t="s">
        <v>345</v>
      </c>
      <c r="I5" s="504" t="s">
        <v>346</v>
      </c>
    </row>
    <row r="6" spans="1:9" ht="18" customHeight="1">
      <c r="A6" s="505" t="s">
        <v>347</v>
      </c>
      <c r="B6" s="506">
        <v>50190</v>
      </c>
      <c r="C6" s="506">
        <v>71556</v>
      </c>
      <c r="D6" s="506">
        <v>29012</v>
      </c>
      <c r="E6" s="506" t="s">
        <v>348</v>
      </c>
      <c r="F6" s="506">
        <v>799</v>
      </c>
      <c r="G6" s="506">
        <v>844</v>
      </c>
      <c r="H6" s="506">
        <f>+F6+D6+B6</f>
        <v>80001</v>
      </c>
      <c r="I6" s="507">
        <v>158084</v>
      </c>
    </row>
    <row r="7" spans="1:9" ht="18" customHeight="1">
      <c r="A7" s="505" t="s">
        <v>349</v>
      </c>
      <c r="B7" s="506">
        <v>1605</v>
      </c>
      <c r="C7" s="506">
        <v>3500</v>
      </c>
      <c r="D7" s="506">
        <v>12490</v>
      </c>
      <c r="E7" s="506" t="s">
        <v>350</v>
      </c>
      <c r="F7" s="506">
        <v>0</v>
      </c>
      <c r="G7" s="506">
        <v>0</v>
      </c>
      <c r="H7" s="506">
        <f>+F7+D7+B7</f>
        <v>14095</v>
      </c>
      <c r="I7" s="507">
        <v>19045</v>
      </c>
    </row>
    <row r="8" spans="1:9" ht="16.5" customHeight="1" thickBot="1">
      <c r="A8" s="508" t="s">
        <v>86</v>
      </c>
      <c r="B8" s="509">
        <f>+B7+B6</f>
        <v>51795</v>
      </c>
      <c r="C8" s="509">
        <f>+C7+C6</f>
        <v>75056</v>
      </c>
      <c r="D8" s="509">
        <f>+D7+D6</f>
        <v>41502</v>
      </c>
      <c r="E8" s="509">
        <v>101229</v>
      </c>
      <c r="F8" s="509">
        <f>+F7+F6</f>
        <v>799</v>
      </c>
      <c r="G8" s="509">
        <f>+G7+G6</f>
        <v>844</v>
      </c>
      <c r="H8" s="509">
        <f>+H7+H6</f>
        <v>94096</v>
      </c>
      <c r="I8" s="510">
        <f>+I7+I6</f>
        <v>177129</v>
      </c>
    </row>
    <row r="9" ht="7.5" customHeight="1" thickTop="1"/>
    <row r="10" spans="1:9" ht="26.25" customHeight="1">
      <c r="A10" s="855" t="s">
        <v>358</v>
      </c>
      <c r="B10" s="822"/>
      <c r="C10" s="822"/>
      <c r="D10" s="822"/>
      <c r="E10" s="822"/>
      <c r="F10" s="822"/>
      <c r="G10" s="822"/>
      <c r="H10" s="822"/>
      <c r="I10" s="822"/>
    </row>
    <row r="11" spans="1:9" ht="30.75" customHeight="1">
      <c r="A11" s="855" t="s">
        <v>359</v>
      </c>
      <c r="B11" s="822"/>
      <c r="C11" s="822"/>
      <c r="D11" s="822"/>
      <c r="E11" s="822"/>
      <c r="F11" s="822"/>
      <c r="G11" s="822"/>
      <c r="H11" s="822"/>
      <c r="I11" s="822"/>
    </row>
    <row r="12" spans="1:9" ht="27" customHeight="1">
      <c r="A12" s="855" t="s">
        <v>360</v>
      </c>
      <c r="B12" s="856"/>
      <c r="C12" s="856"/>
      <c r="D12" s="856"/>
      <c r="E12" s="856"/>
      <c r="F12" s="856"/>
      <c r="G12" s="856"/>
      <c r="H12" s="856"/>
      <c r="I12" s="856"/>
    </row>
    <row r="13" ht="12.75">
      <c r="A13" s="109" t="s">
        <v>107</v>
      </c>
    </row>
    <row r="14" spans="1:9" ht="18" customHeight="1">
      <c r="A14" s="792" t="s">
        <v>351</v>
      </c>
      <c r="B14" s="702"/>
      <c r="C14" s="702"/>
      <c r="D14" s="702"/>
      <c r="E14" s="702"/>
      <c r="F14" s="702"/>
      <c r="G14" s="702"/>
      <c r="H14" s="702"/>
      <c r="I14" s="702"/>
    </row>
    <row r="15" spans="1:9" ht="15" customHeight="1">
      <c r="A15" s="841" t="s">
        <v>352</v>
      </c>
      <c r="B15" s="704"/>
      <c r="C15" s="704"/>
      <c r="D15" s="704"/>
      <c r="E15" s="704"/>
      <c r="F15" s="704"/>
      <c r="G15" s="704"/>
      <c r="H15" s="704"/>
      <c r="I15" s="704"/>
    </row>
    <row r="16" spans="1:9" ht="19.5" customHeight="1">
      <c r="A16" s="841" t="s">
        <v>569</v>
      </c>
      <c r="B16" s="704"/>
      <c r="C16" s="704"/>
      <c r="D16" s="704"/>
      <c r="E16" s="704"/>
      <c r="F16" s="704"/>
      <c r="G16" s="704"/>
      <c r="H16" s="704"/>
      <c r="I16" s="704"/>
    </row>
    <row r="17" spans="1:9" ht="21" customHeight="1" thickBot="1">
      <c r="A17" s="15" t="s">
        <v>47</v>
      </c>
      <c r="G17" s="10"/>
      <c r="I17" s="10" t="s">
        <v>340</v>
      </c>
    </row>
    <row r="18" spans="1:9" ht="12.75" customHeight="1" thickTop="1">
      <c r="A18" s="838" t="s">
        <v>341</v>
      </c>
      <c r="B18" s="832" t="s">
        <v>342</v>
      </c>
      <c r="C18" s="832"/>
      <c r="D18" s="832" t="s">
        <v>353</v>
      </c>
      <c r="E18" s="832"/>
      <c r="F18" s="843" t="s">
        <v>86</v>
      </c>
      <c r="G18" s="844"/>
      <c r="H18" s="845"/>
      <c r="I18" s="846"/>
    </row>
    <row r="19" spans="1:9" ht="12.75">
      <c r="A19" s="839"/>
      <c r="B19" s="503" t="s">
        <v>354</v>
      </c>
      <c r="C19" s="503" t="s">
        <v>346</v>
      </c>
      <c r="D19" s="503" t="s">
        <v>354</v>
      </c>
      <c r="E19" s="503" t="s">
        <v>346</v>
      </c>
      <c r="F19" s="850" t="s">
        <v>354</v>
      </c>
      <c r="G19" s="854"/>
      <c r="H19" s="850" t="s">
        <v>346</v>
      </c>
      <c r="I19" s="851"/>
    </row>
    <row r="20" spans="1:9" ht="30.75" customHeight="1">
      <c r="A20" s="505" t="s">
        <v>349</v>
      </c>
      <c r="B20" s="511">
        <v>7730</v>
      </c>
      <c r="C20" s="511">
        <v>17220</v>
      </c>
      <c r="D20" s="511">
        <v>2964</v>
      </c>
      <c r="E20" s="511">
        <v>10000</v>
      </c>
      <c r="F20" s="852">
        <f>+D20+B20</f>
        <v>10694</v>
      </c>
      <c r="G20" s="857">
        <f>+C20+E20</f>
        <v>27220</v>
      </c>
      <c r="H20" s="852">
        <f>+E20+C20</f>
        <v>27220</v>
      </c>
      <c r="I20" s="853"/>
    </row>
    <row r="21" spans="1:9" ht="26.25" customHeight="1" thickBot="1">
      <c r="A21" s="508" t="s">
        <v>86</v>
      </c>
      <c r="B21" s="512">
        <f aca="true" t="shared" si="0" ref="B21:G21">SUM(B20)</f>
        <v>7730</v>
      </c>
      <c r="C21" s="512">
        <f t="shared" si="0"/>
        <v>17220</v>
      </c>
      <c r="D21" s="512">
        <f t="shared" si="0"/>
        <v>2964</v>
      </c>
      <c r="E21" s="512">
        <f t="shared" si="0"/>
        <v>10000</v>
      </c>
      <c r="F21" s="847">
        <v>7730</v>
      </c>
      <c r="G21" s="848">
        <f t="shared" si="0"/>
        <v>27220</v>
      </c>
      <c r="H21" s="847">
        <v>27220</v>
      </c>
      <c r="I21" s="849"/>
    </row>
    <row r="22" spans="1:9" ht="26.25" customHeight="1" thickTop="1">
      <c r="A22" s="834" t="s">
        <v>567</v>
      </c>
      <c r="B22" s="834"/>
      <c r="C22" s="834"/>
      <c r="D22" s="834"/>
      <c r="E22" s="834"/>
      <c r="F22" s="834"/>
      <c r="G22" s="834"/>
      <c r="H22" s="835"/>
      <c r="I22" s="835"/>
    </row>
    <row r="23" spans="1:9" s="106" customFormat="1" ht="71.25" customHeight="1">
      <c r="A23" s="836" t="s">
        <v>361</v>
      </c>
      <c r="B23" s="821"/>
      <c r="C23" s="821"/>
      <c r="D23" s="821"/>
      <c r="E23" s="821"/>
      <c r="F23" s="821"/>
      <c r="G23" s="821"/>
      <c r="H23" s="822"/>
      <c r="I23" s="822"/>
    </row>
    <row r="24" spans="1:9" ht="14.25" customHeight="1">
      <c r="A24" s="836"/>
      <c r="B24" s="837"/>
      <c r="C24" s="837"/>
      <c r="D24" s="837"/>
      <c r="E24" s="837"/>
      <c r="F24" s="837"/>
      <c r="G24" s="837"/>
      <c r="H24" s="837"/>
      <c r="I24" s="837"/>
    </row>
    <row r="25" spans="1:9" ht="20.25" customHeight="1">
      <c r="A25" s="792" t="s">
        <v>355</v>
      </c>
      <c r="B25" s="702"/>
      <c r="C25" s="702"/>
      <c r="D25" s="702"/>
      <c r="E25" s="702"/>
      <c r="F25" s="702"/>
      <c r="G25" s="702"/>
      <c r="H25" s="702"/>
      <c r="I25" s="702"/>
    </row>
    <row r="26" spans="1:9" ht="18.75" customHeight="1">
      <c r="A26" s="841" t="s">
        <v>356</v>
      </c>
      <c r="B26" s="704"/>
      <c r="C26" s="704"/>
      <c r="D26" s="704"/>
      <c r="E26" s="704"/>
      <c r="F26" s="704"/>
      <c r="G26" s="704"/>
      <c r="H26" s="704"/>
      <c r="I26" s="704"/>
    </row>
    <row r="27" spans="1:9" ht="18.75" customHeight="1">
      <c r="A27" s="111"/>
      <c r="B27" s="70"/>
      <c r="C27" s="792" t="s">
        <v>774</v>
      </c>
      <c r="D27" s="831"/>
      <c r="E27" s="831"/>
      <c r="F27" s="831"/>
      <c r="G27" s="70"/>
      <c r="H27" s="70"/>
      <c r="I27" s="70"/>
    </row>
    <row r="28" spans="1:9" s="13" customFormat="1" ht="16.5" thickBot="1">
      <c r="A28" s="15" t="s">
        <v>48</v>
      </c>
      <c r="H28" s="840" t="s">
        <v>357</v>
      </c>
      <c r="I28" s="840"/>
    </row>
    <row r="29" spans="1:9" ht="13.5" thickTop="1">
      <c r="A29" s="838" t="s">
        <v>341</v>
      </c>
      <c r="B29" s="832" t="s">
        <v>342</v>
      </c>
      <c r="C29" s="832"/>
      <c r="D29" s="842" t="s">
        <v>353</v>
      </c>
      <c r="E29" s="842"/>
      <c r="F29" s="832" t="s">
        <v>344</v>
      </c>
      <c r="G29" s="832"/>
      <c r="H29" s="832" t="s">
        <v>86</v>
      </c>
      <c r="I29" s="833"/>
    </row>
    <row r="30" spans="1:9" ht="12.75">
      <c r="A30" s="839"/>
      <c r="B30" s="502" t="s">
        <v>345</v>
      </c>
      <c r="C30" s="503" t="s">
        <v>346</v>
      </c>
      <c r="D30" s="503" t="s">
        <v>345</v>
      </c>
      <c r="E30" s="503" t="s">
        <v>346</v>
      </c>
      <c r="F30" s="503" t="s">
        <v>345</v>
      </c>
      <c r="G30" s="503" t="s">
        <v>346</v>
      </c>
      <c r="H30" s="503" t="s">
        <v>345</v>
      </c>
      <c r="I30" s="504" t="s">
        <v>346</v>
      </c>
    </row>
    <row r="31" spans="1:9" ht="13.5" thickBot="1">
      <c r="A31" s="508" t="s">
        <v>349</v>
      </c>
      <c r="B31" s="513">
        <v>3528</v>
      </c>
      <c r="C31" s="513">
        <v>22830</v>
      </c>
      <c r="D31" s="513">
        <v>0</v>
      </c>
      <c r="E31" s="513">
        <v>5400</v>
      </c>
      <c r="F31" s="513">
        <v>561</v>
      </c>
      <c r="G31" s="513">
        <v>770</v>
      </c>
      <c r="H31" s="513">
        <f>+F31+D31+B31</f>
        <v>4089</v>
      </c>
      <c r="I31" s="514">
        <f>+C31+E31+G31</f>
        <v>29000</v>
      </c>
    </row>
    <row r="32" ht="4.5" customHeight="1" thickTop="1"/>
    <row r="33" spans="1:9" ht="37.5" customHeight="1">
      <c r="A33" s="821" t="s">
        <v>474</v>
      </c>
      <c r="B33" s="821"/>
      <c r="C33" s="821"/>
      <c r="D33" s="821"/>
      <c r="E33" s="821"/>
      <c r="F33" s="821"/>
      <c r="G33" s="821"/>
      <c r="H33" s="822"/>
      <c r="I33" s="822"/>
    </row>
    <row r="34" spans="1:9" ht="12.75">
      <c r="A34" s="108"/>
      <c r="B34" s="5"/>
      <c r="C34" s="5"/>
      <c r="D34" s="5"/>
      <c r="E34" s="5"/>
      <c r="F34" s="5" t="s">
        <v>107</v>
      </c>
      <c r="G34" s="5"/>
      <c r="H34" s="5"/>
      <c r="I34" s="5" t="s">
        <v>107</v>
      </c>
    </row>
  </sheetData>
  <mergeCells count="36">
    <mergeCell ref="A10:I10"/>
    <mergeCell ref="A11:I11"/>
    <mergeCell ref="A12:I12"/>
    <mergeCell ref="F20:G20"/>
    <mergeCell ref="F21:G21"/>
    <mergeCell ref="H21:I21"/>
    <mergeCell ref="H19:I19"/>
    <mergeCell ref="H20:I20"/>
    <mergeCell ref="F19:G19"/>
    <mergeCell ref="A1:I1"/>
    <mergeCell ref="A2:I2"/>
    <mergeCell ref="B4:C4"/>
    <mergeCell ref="D4:E4"/>
    <mergeCell ref="F4:G4"/>
    <mergeCell ref="H4:I4"/>
    <mergeCell ref="A4:A5"/>
    <mergeCell ref="B29:C29"/>
    <mergeCell ref="D29:E29"/>
    <mergeCell ref="F29:G29"/>
    <mergeCell ref="A14:I14"/>
    <mergeCell ref="A15:I15"/>
    <mergeCell ref="A16:I16"/>
    <mergeCell ref="B18:C18"/>
    <mergeCell ref="D18:E18"/>
    <mergeCell ref="A18:A19"/>
    <mergeCell ref="F18:I18"/>
    <mergeCell ref="C27:F27"/>
    <mergeCell ref="H29:I29"/>
    <mergeCell ref="A33:I33"/>
    <mergeCell ref="A22:I22"/>
    <mergeCell ref="A23:I23"/>
    <mergeCell ref="A24:I24"/>
    <mergeCell ref="A29:A30"/>
    <mergeCell ref="H28:I28"/>
    <mergeCell ref="A25:I25"/>
    <mergeCell ref="A26:I26"/>
  </mergeCells>
  <printOptions/>
  <pageMargins left="0.75" right="0.75" top="1" bottom="1" header="0.5" footer="0.5"/>
  <pageSetup horizontalDpi="300" verticalDpi="300" orientation="portrait" paperSize="9" scale="95"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tabColor indexed="39"/>
  </sheetPr>
  <dimension ref="A1:E699"/>
  <sheetViews>
    <sheetView showGridLines="0" workbookViewId="0" topLeftCell="A687">
      <selection activeCell="C707" sqref="C707"/>
    </sheetView>
  </sheetViews>
  <sheetFormatPr defaultColWidth="9.00390625" defaultRowHeight="12.75"/>
  <cols>
    <col min="1" max="1" width="3.25390625" style="45" customWidth="1"/>
    <col min="2" max="2" width="24.375" style="87" customWidth="1"/>
    <col min="3" max="3" width="18.625" style="1" customWidth="1"/>
    <col min="4" max="4" width="22.75390625" style="160" customWidth="1"/>
    <col min="5" max="5" width="17.75390625" style="561" customWidth="1"/>
    <col min="6" max="16384" width="9.125" style="1" customWidth="1"/>
  </cols>
  <sheetData>
    <row r="1" spans="1:5" s="5" customFormat="1" ht="12.75">
      <c r="A1" s="660" t="s">
        <v>4</v>
      </c>
      <c r="B1" s="716"/>
      <c r="C1" s="716"/>
      <c r="D1" s="716"/>
      <c r="E1" s="716"/>
    </row>
    <row r="2" spans="1:5" s="5" customFormat="1" ht="18" customHeight="1">
      <c r="A2" s="660" t="s">
        <v>671</v>
      </c>
      <c r="B2" s="716"/>
      <c r="C2" s="716"/>
      <c r="D2" s="716"/>
      <c r="E2" s="716"/>
    </row>
    <row r="3" spans="1:5" s="5" customFormat="1" ht="14.25">
      <c r="A3" s="871" t="s">
        <v>557</v>
      </c>
      <c r="B3" s="872"/>
      <c r="C3" s="872"/>
      <c r="D3" s="872"/>
      <c r="E3" s="872"/>
    </row>
    <row r="4" spans="1:5" s="5" customFormat="1" ht="14.25">
      <c r="A4" s="871" t="s">
        <v>5</v>
      </c>
      <c r="B4" s="872"/>
      <c r="C4" s="872"/>
      <c r="D4" s="872"/>
      <c r="E4" s="872"/>
    </row>
    <row r="5" s="5" customFormat="1" ht="3.75" customHeight="1">
      <c r="E5" s="549"/>
    </row>
    <row r="6" spans="1:5" s="45" customFormat="1" ht="15" customHeight="1" thickBot="1">
      <c r="A6" s="873" t="s">
        <v>49</v>
      </c>
      <c r="B6" s="873"/>
      <c r="C6" s="873"/>
      <c r="D6" s="873"/>
      <c r="E6" s="193" t="s">
        <v>107</v>
      </c>
    </row>
    <row r="7" spans="1:5" s="45" customFormat="1" ht="45.75" customHeight="1">
      <c r="A7" s="874" t="s">
        <v>496</v>
      </c>
      <c r="B7" s="199"/>
      <c r="C7" s="200"/>
      <c r="D7" s="201" t="s">
        <v>501</v>
      </c>
      <c r="E7" s="550" t="s">
        <v>502</v>
      </c>
    </row>
    <row r="8" spans="1:5" s="87" customFormat="1" ht="13.5" customHeight="1">
      <c r="A8" s="875"/>
      <c r="B8" s="202" t="s">
        <v>578</v>
      </c>
      <c r="C8" s="203" t="s">
        <v>504</v>
      </c>
      <c r="D8" s="204" t="s">
        <v>505</v>
      </c>
      <c r="E8" s="551" t="s">
        <v>506</v>
      </c>
    </row>
    <row r="9" spans="1:5" s="87" customFormat="1" ht="13.5" customHeight="1">
      <c r="A9" s="875"/>
      <c r="B9" s="205" t="s">
        <v>579</v>
      </c>
      <c r="C9" s="244" t="s">
        <v>508</v>
      </c>
      <c r="D9" s="245" t="s">
        <v>509</v>
      </c>
      <c r="E9" s="551" t="s">
        <v>580</v>
      </c>
    </row>
    <row r="10" spans="1:5" ht="13.5" customHeight="1" thickBot="1">
      <c r="A10" s="876"/>
      <c r="B10" s="208"/>
      <c r="C10" s="246" t="s">
        <v>510</v>
      </c>
      <c r="D10" s="247" t="s">
        <v>511</v>
      </c>
      <c r="E10" s="552" t="s">
        <v>581</v>
      </c>
    </row>
    <row r="11" spans="1:5" ht="13.5" customHeight="1">
      <c r="A11" s="858" t="s">
        <v>582</v>
      </c>
      <c r="B11" s="211" t="s">
        <v>583</v>
      </c>
      <c r="C11" s="223">
        <v>20328</v>
      </c>
      <c r="D11" s="224">
        <v>131298</v>
      </c>
      <c r="E11" s="553">
        <v>34.691513</v>
      </c>
    </row>
    <row r="12" spans="1:5" ht="13.5" customHeight="1">
      <c r="A12" s="877"/>
      <c r="B12" s="214" t="s">
        <v>584</v>
      </c>
      <c r="C12" s="215">
        <v>2835</v>
      </c>
      <c r="D12" s="216">
        <v>40541</v>
      </c>
      <c r="E12" s="548">
        <v>22.512245</v>
      </c>
    </row>
    <row r="13" spans="1:5" ht="13.5" customHeight="1">
      <c r="A13" s="877"/>
      <c r="B13" s="217" t="s">
        <v>585</v>
      </c>
      <c r="C13" s="212">
        <v>419</v>
      </c>
      <c r="D13" s="213">
        <v>15802</v>
      </c>
      <c r="E13" s="554">
        <v>62.335923</v>
      </c>
    </row>
    <row r="14" spans="1:5" ht="13.5" customHeight="1">
      <c r="A14" s="877"/>
      <c r="B14" s="214" t="s">
        <v>586</v>
      </c>
      <c r="C14" s="215">
        <v>22744</v>
      </c>
      <c r="D14" s="216">
        <v>156037</v>
      </c>
      <c r="E14" s="548">
        <v>29.011809</v>
      </c>
    </row>
    <row r="15" spans="1:5" ht="13.5" customHeight="1">
      <c r="A15" s="877"/>
      <c r="B15" s="225" t="s">
        <v>587</v>
      </c>
      <c r="C15" s="226" t="s">
        <v>107</v>
      </c>
      <c r="D15" s="227">
        <v>139287</v>
      </c>
      <c r="E15" s="554">
        <v>32.609377</v>
      </c>
    </row>
    <row r="16" spans="1:5" ht="13.5" customHeight="1">
      <c r="A16" s="877"/>
      <c r="B16" s="219" t="s">
        <v>588</v>
      </c>
      <c r="C16" s="215" t="s">
        <v>107</v>
      </c>
      <c r="D16" s="216">
        <v>32552</v>
      </c>
      <c r="E16" s="548">
        <v>29.763401</v>
      </c>
    </row>
    <row r="17" spans="1:5" ht="13.5" customHeight="1" thickBot="1">
      <c r="A17" s="878"/>
      <c r="B17" s="228" t="s">
        <v>589</v>
      </c>
      <c r="C17" s="221">
        <f>+C11+C12</f>
        <v>23163</v>
      </c>
      <c r="D17" s="221">
        <f>+D11+D12</f>
        <v>171839</v>
      </c>
      <c r="E17" s="555">
        <v>32.086845</v>
      </c>
    </row>
    <row r="18" spans="1:5" ht="13.5" customHeight="1">
      <c r="A18" s="858" t="s">
        <v>590</v>
      </c>
      <c r="B18" s="211" t="s">
        <v>583</v>
      </c>
      <c r="C18" s="223">
        <v>1987</v>
      </c>
      <c r="D18" s="224">
        <v>18571</v>
      </c>
      <c r="E18" s="553">
        <v>30.313681</v>
      </c>
    </row>
    <row r="19" spans="1:5" ht="13.5" customHeight="1">
      <c r="A19" s="859"/>
      <c r="B19" s="214" t="s">
        <v>584</v>
      </c>
      <c r="C19" s="215">
        <v>709</v>
      </c>
      <c r="D19" s="216">
        <v>6560</v>
      </c>
      <c r="E19" s="548">
        <v>23.414482</v>
      </c>
    </row>
    <row r="20" spans="1:5" ht="13.5" customHeight="1">
      <c r="A20" s="859"/>
      <c r="B20" s="217" t="s">
        <v>585</v>
      </c>
      <c r="C20" s="212">
        <v>176</v>
      </c>
      <c r="D20" s="213">
        <v>5220</v>
      </c>
      <c r="E20" s="554">
        <v>53.541402</v>
      </c>
    </row>
    <row r="21" spans="1:5" ht="13.5" customHeight="1">
      <c r="A21" s="859"/>
      <c r="B21" s="214" t="s">
        <v>586</v>
      </c>
      <c r="C21" s="215">
        <v>2520</v>
      </c>
      <c r="D21" s="216">
        <v>19911</v>
      </c>
      <c r="E21" s="548">
        <v>22.208654</v>
      </c>
    </row>
    <row r="22" spans="1:5" ht="13.5" customHeight="1">
      <c r="A22" s="859"/>
      <c r="B22" s="218" t="s">
        <v>587</v>
      </c>
      <c r="C22" s="226" t="s">
        <v>107</v>
      </c>
      <c r="D22" s="227">
        <v>19304</v>
      </c>
      <c r="E22" s="554">
        <v>29.706596</v>
      </c>
    </row>
    <row r="23" spans="1:5" ht="13.5" customHeight="1">
      <c r="A23" s="859"/>
      <c r="B23" s="219" t="s">
        <v>588</v>
      </c>
      <c r="C23" s="215" t="s">
        <v>107</v>
      </c>
      <c r="D23" s="216">
        <v>5827</v>
      </c>
      <c r="E23" s="548">
        <v>24.91282</v>
      </c>
    </row>
    <row r="24" spans="1:5" ht="13.5" customHeight="1" thickBot="1">
      <c r="A24" s="860"/>
      <c r="B24" s="220" t="s">
        <v>591</v>
      </c>
      <c r="C24" s="221">
        <v>2696</v>
      </c>
      <c r="D24" s="221">
        <v>25131</v>
      </c>
      <c r="E24" s="555">
        <v>28.64717</v>
      </c>
    </row>
    <row r="25" spans="1:5" ht="13.5" customHeight="1">
      <c r="A25" s="864" t="s">
        <v>592</v>
      </c>
      <c r="B25" s="211" t="s">
        <v>583</v>
      </c>
      <c r="C25" s="223">
        <v>6069</v>
      </c>
      <c r="D25" s="224">
        <v>39846</v>
      </c>
      <c r="E25" s="553">
        <v>26.788851</v>
      </c>
    </row>
    <row r="26" spans="1:5" ht="13.5" customHeight="1">
      <c r="A26" s="865"/>
      <c r="B26" s="214" t="s">
        <v>584</v>
      </c>
      <c r="C26" s="215">
        <v>2159</v>
      </c>
      <c r="D26" s="216">
        <v>14081</v>
      </c>
      <c r="E26" s="548">
        <v>22.900736</v>
      </c>
    </row>
    <row r="27" spans="1:5" ht="13.5" customHeight="1">
      <c r="A27" s="865"/>
      <c r="B27" s="217" t="s">
        <v>585</v>
      </c>
      <c r="C27" s="212">
        <v>493</v>
      </c>
      <c r="D27" s="213">
        <v>7493</v>
      </c>
      <c r="E27" s="554">
        <v>46.726222</v>
      </c>
    </row>
    <row r="28" spans="1:5" ht="13.5" customHeight="1">
      <c r="A28" s="865"/>
      <c r="B28" s="214" t="s">
        <v>586</v>
      </c>
      <c r="C28" s="215">
        <v>7735</v>
      </c>
      <c r="D28" s="216">
        <v>46434</v>
      </c>
      <c r="E28" s="548">
        <v>22.559568</v>
      </c>
    </row>
    <row r="29" spans="1:5" ht="13.5" customHeight="1">
      <c r="A29" s="865"/>
      <c r="B29" s="218" t="s">
        <v>587</v>
      </c>
      <c r="C29" s="226" t="s">
        <v>107</v>
      </c>
      <c r="D29" s="227">
        <v>46515</v>
      </c>
      <c r="E29" s="554">
        <v>25.910079</v>
      </c>
    </row>
    <row r="30" spans="1:5" ht="13.5" customHeight="1">
      <c r="A30" s="865"/>
      <c r="B30" s="219" t="s">
        <v>588</v>
      </c>
      <c r="C30" s="215" t="s">
        <v>107</v>
      </c>
      <c r="D30" s="216">
        <v>7412</v>
      </c>
      <c r="E30" s="548">
        <v>25.421941</v>
      </c>
    </row>
    <row r="31" spans="1:5" ht="13.5" customHeight="1" thickBot="1">
      <c r="A31" s="866"/>
      <c r="B31" s="220" t="s">
        <v>591</v>
      </c>
      <c r="C31" s="221">
        <v>8228</v>
      </c>
      <c r="D31" s="221">
        <v>53927</v>
      </c>
      <c r="E31" s="555">
        <v>25.848282</v>
      </c>
    </row>
    <row r="32" spans="1:5" ht="13.5" customHeight="1">
      <c r="A32" s="858" t="s">
        <v>593</v>
      </c>
      <c r="B32" s="211" t="s">
        <v>583</v>
      </c>
      <c r="C32" s="223">
        <v>731</v>
      </c>
      <c r="D32" s="224">
        <v>4388</v>
      </c>
      <c r="E32" s="553">
        <v>36.949699</v>
      </c>
    </row>
    <row r="33" spans="1:5" ht="13.5" customHeight="1">
      <c r="A33" s="859"/>
      <c r="B33" s="214" t="s">
        <v>584</v>
      </c>
      <c r="C33" s="215">
        <v>342</v>
      </c>
      <c r="D33" s="216">
        <v>3197</v>
      </c>
      <c r="E33" s="548">
        <v>26.113459</v>
      </c>
    </row>
    <row r="34" spans="1:5" ht="13.5" customHeight="1">
      <c r="A34" s="859"/>
      <c r="B34" s="217" t="s">
        <v>585</v>
      </c>
      <c r="C34" s="212">
        <v>133</v>
      </c>
      <c r="D34" s="213">
        <v>2872</v>
      </c>
      <c r="E34" s="554">
        <v>50.638825</v>
      </c>
    </row>
    <row r="35" spans="1:5" ht="13.5" customHeight="1">
      <c r="A35" s="859"/>
      <c r="B35" s="214" t="s">
        <v>586</v>
      </c>
      <c r="C35" s="215">
        <v>940</v>
      </c>
      <c r="D35" s="216">
        <v>4713</v>
      </c>
      <c r="E35" s="548">
        <v>22.528637</v>
      </c>
    </row>
    <row r="36" spans="1:5" ht="13.5" customHeight="1">
      <c r="A36" s="859"/>
      <c r="B36" s="218" t="s">
        <v>587</v>
      </c>
      <c r="C36" s="226" t="s">
        <v>107</v>
      </c>
      <c r="D36" s="227">
        <v>6517</v>
      </c>
      <c r="E36" s="554">
        <v>32.33808</v>
      </c>
    </row>
    <row r="37" spans="1:5" ht="13.5" customHeight="1">
      <c r="A37" s="859"/>
      <c r="B37" s="219" t="s">
        <v>588</v>
      </c>
      <c r="C37" s="215" t="s">
        <v>107</v>
      </c>
      <c r="D37" s="216">
        <v>1068</v>
      </c>
      <c r="E37" s="548">
        <v>35.899385</v>
      </c>
    </row>
    <row r="38" spans="1:5" ht="13.5" customHeight="1" thickBot="1">
      <c r="A38" s="860"/>
      <c r="B38" s="220" t="s">
        <v>591</v>
      </c>
      <c r="C38" s="221">
        <v>1073</v>
      </c>
      <c r="D38" s="221">
        <v>7585</v>
      </c>
      <c r="E38" s="555">
        <v>32.761968</v>
      </c>
    </row>
    <row r="39" spans="1:5" ht="13.5" customHeight="1">
      <c r="A39" s="858" t="s">
        <v>594</v>
      </c>
      <c r="B39" s="211" t="s">
        <v>583</v>
      </c>
      <c r="C39" s="223">
        <v>2911</v>
      </c>
      <c r="D39" s="224">
        <v>17577</v>
      </c>
      <c r="E39" s="553">
        <v>27.891358</v>
      </c>
    </row>
    <row r="40" spans="1:5" ht="13.5" customHeight="1">
      <c r="A40" s="859"/>
      <c r="B40" s="214" t="s">
        <v>584</v>
      </c>
      <c r="C40" s="215">
        <v>807</v>
      </c>
      <c r="D40" s="216">
        <v>6532</v>
      </c>
      <c r="E40" s="548">
        <v>24.20576</v>
      </c>
    </row>
    <row r="41" spans="1:5" ht="13.5" customHeight="1">
      <c r="A41" s="859"/>
      <c r="B41" s="217" t="s">
        <v>585</v>
      </c>
      <c r="C41" s="212">
        <v>234</v>
      </c>
      <c r="D41" s="213">
        <v>3666</v>
      </c>
      <c r="E41" s="554">
        <v>47.93654</v>
      </c>
    </row>
    <row r="42" spans="1:5" ht="13.5" customHeight="1">
      <c r="A42" s="859"/>
      <c r="B42" s="214" t="s">
        <v>586</v>
      </c>
      <c r="C42" s="215">
        <v>3484</v>
      </c>
      <c r="D42" s="216">
        <v>20443</v>
      </c>
      <c r="E42" s="548">
        <v>23.320043</v>
      </c>
    </row>
    <row r="43" spans="1:5" ht="13.5" customHeight="1">
      <c r="A43" s="859"/>
      <c r="B43" s="218" t="s">
        <v>587</v>
      </c>
      <c r="C43" s="226" t="s">
        <v>107</v>
      </c>
      <c r="D43" s="227">
        <v>20603</v>
      </c>
      <c r="E43" s="554">
        <v>27.536869</v>
      </c>
    </row>
    <row r="44" spans="1:5" ht="13.5" customHeight="1">
      <c r="A44" s="859"/>
      <c r="B44" s="219" t="s">
        <v>588</v>
      </c>
      <c r="C44" s="215" t="s">
        <v>107</v>
      </c>
      <c r="D44" s="216">
        <v>3506</v>
      </c>
      <c r="E44" s="548">
        <v>23.486299</v>
      </c>
    </row>
    <row r="45" spans="1:5" ht="13.5" customHeight="1" thickBot="1">
      <c r="A45" s="860"/>
      <c r="B45" s="220" t="s">
        <v>591</v>
      </c>
      <c r="C45" s="221">
        <v>3718</v>
      </c>
      <c r="D45" s="221">
        <v>24109</v>
      </c>
      <c r="E45" s="555">
        <v>26.983865</v>
      </c>
    </row>
    <row r="46" spans="1:5" ht="13.5" customHeight="1">
      <c r="A46" s="858" t="s">
        <v>595</v>
      </c>
      <c r="B46" s="211" t="s">
        <v>583</v>
      </c>
      <c r="C46" s="223">
        <v>79310</v>
      </c>
      <c r="D46" s="224">
        <v>543747</v>
      </c>
      <c r="E46" s="553">
        <v>38.56328286826707</v>
      </c>
    </row>
    <row r="47" spans="1:5" ht="13.5" customHeight="1">
      <c r="A47" s="859"/>
      <c r="B47" s="214" t="s">
        <v>584</v>
      </c>
      <c r="C47" s="215">
        <v>13759</v>
      </c>
      <c r="D47" s="216">
        <v>168315</v>
      </c>
      <c r="E47" s="548">
        <v>24.232977584837254</v>
      </c>
    </row>
    <row r="48" spans="1:5" ht="13.5" customHeight="1">
      <c r="A48" s="859"/>
      <c r="B48" s="217" t="s">
        <v>585</v>
      </c>
      <c r="C48" s="212">
        <v>1568</v>
      </c>
      <c r="D48" s="213">
        <v>71736</v>
      </c>
      <c r="E48" s="554">
        <v>65.86475845604814</v>
      </c>
    </row>
    <row r="49" spans="1:5" ht="13.5" customHeight="1">
      <c r="A49" s="859"/>
      <c r="B49" s="214" t="s">
        <v>586</v>
      </c>
      <c r="C49" s="215">
        <v>91501</v>
      </c>
      <c r="D49" s="216">
        <v>640326</v>
      </c>
      <c r="E49" s="548">
        <v>31.920869511076866</v>
      </c>
    </row>
    <row r="50" spans="1:5" ht="12.75" customHeight="1">
      <c r="A50" s="859"/>
      <c r="B50" s="218" t="s">
        <v>587</v>
      </c>
      <c r="C50" s="226"/>
      <c r="D50" s="227">
        <v>557865</v>
      </c>
      <c r="E50" s="554">
        <v>35.170021916465664</v>
      </c>
    </row>
    <row r="51" spans="1:5" ht="12.75">
      <c r="A51" s="859"/>
      <c r="B51" s="219" t="s">
        <v>588</v>
      </c>
      <c r="C51" s="215"/>
      <c r="D51" s="216">
        <v>154197</v>
      </c>
      <c r="E51" s="548">
        <v>36.57276876483896</v>
      </c>
    </row>
    <row r="52" spans="1:5" ht="13.5" thickBot="1">
      <c r="A52" s="860"/>
      <c r="B52" s="220" t="s">
        <v>591</v>
      </c>
      <c r="C52" s="221">
        <v>93069</v>
      </c>
      <c r="D52" s="221">
        <v>712062</v>
      </c>
      <c r="E52" s="555">
        <v>35.49964865885015</v>
      </c>
    </row>
    <row r="53" spans="1:5" ht="12.75">
      <c r="A53" s="194"/>
      <c r="B53" s="195"/>
      <c r="C53" s="196"/>
      <c r="D53" s="196"/>
      <c r="E53" s="556"/>
    </row>
    <row r="54" spans="1:5" ht="13.5" customHeight="1">
      <c r="A54" s="190"/>
      <c r="B54" s="191"/>
      <c r="C54" s="191"/>
      <c r="D54" s="192"/>
      <c r="E54" s="193" t="s">
        <v>107</v>
      </c>
    </row>
    <row r="55" spans="1:5" ht="13.5" customHeight="1" thickBot="1">
      <c r="A55" s="190"/>
      <c r="B55" s="191"/>
      <c r="C55" s="191"/>
      <c r="D55" s="192"/>
      <c r="E55" s="193"/>
    </row>
    <row r="56" spans="1:5" ht="13.5" customHeight="1">
      <c r="A56" s="867" t="s">
        <v>496</v>
      </c>
      <c r="B56" s="199"/>
      <c r="C56" s="200"/>
      <c r="D56" s="201" t="s">
        <v>501</v>
      </c>
      <c r="E56" s="550" t="s">
        <v>502</v>
      </c>
    </row>
    <row r="57" spans="1:5" ht="13.5" customHeight="1">
      <c r="A57" s="868"/>
      <c r="B57" s="202" t="s">
        <v>578</v>
      </c>
      <c r="C57" s="203" t="s">
        <v>504</v>
      </c>
      <c r="D57" s="204" t="s">
        <v>505</v>
      </c>
      <c r="E57" s="551" t="s">
        <v>506</v>
      </c>
    </row>
    <row r="58" spans="1:5" ht="13.5" customHeight="1">
      <c r="A58" s="868"/>
      <c r="B58" s="205" t="s">
        <v>579</v>
      </c>
      <c r="C58" s="206" t="s">
        <v>508</v>
      </c>
      <c r="D58" s="207" t="s">
        <v>509</v>
      </c>
      <c r="E58" s="551" t="s">
        <v>580</v>
      </c>
    </row>
    <row r="59" spans="1:5" ht="13.5" customHeight="1" thickBot="1">
      <c r="A59" s="869"/>
      <c r="B59" s="208"/>
      <c r="C59" s="209" t="s">
        <v>510</v>
      </c>
      <c r="D59" s="210" t="s">
        <v>511</v>
      </c>
      <c r="E59" s="557" t="s">
        <v>581</v>
      </c>
    </row>
    <row r="60" spans="1:5" ht="13.5" customHeight="1">
      <c r="A60" s="858" t="s">
        <v>596</v>
      </c>
      <c r="B60" s="211" t="s">
        <v>583</v>
      </c>
      <c r="C60" s="223">
        <v>33936</v>
      </c>
      <c r="D60" s="224">
        <v>264440</v>
      </c>
      <c r="E60" s="553">
        <v>28.613431</v>
      </c>
    </row>
    <row r="61" spans="1:5" ht="13.5" customHeight="1">
      <c r="A61" s="859"/>
      <c r="B61" s="214" t="s">
        <v>584</v>
      </c>
      <c r="C61" s="215">
        <v>6435</v>
      </c>
      <c r="D61" s="216">
        <v>74725</v>
      </c>
      <c r="E61" s="548">
        <v>24.693714</v>
      </c>
    </row>
    <row r="62" spans="1:5" ht="13.5" customHeight="1">
      <c r="A62" s="859"/>
      <c r="B62" s="217" t="s">
        <v>585</v>
      </c>
      <c r="C62" s="212">
        <v>525</v>
      </c>
      <c r="D62" s="213">
        <v>16183</v>
      </c>
      <c r="E62" s="554">
        <v>56.762303</v>
      </c>
    </row>
    <row r="63" spans="1:5" ht="13.5" customHeight="1">
      <c r="A63" s="859"/>
      <c r="B63" s="214" t="s">
        <v>586</v>
      </c>
      <c r="C63" s="215">
        <v>39846</v>
      </c>
      <c r="D63" s="216">
        <v>322982</v>
      </c>
      <c r="E63" s="548">
        <v>26.330118</v>
      </c>
    </row>
    <row r="64" spans="1:5" ht="13.5" customHeight="1">
      <c r="A64" s="859"/>
      <c r="B64" s="218" t="s">
        <v>587</v>
      </c>
      <c r="C64" s="226" t="s">
        <v>107</v>
      </c>
      <c r="D64" s="227">
        <v>265128</v>
      </c>
      <c r="E64" s="554">
        <v>27.981478</v>
      </c>
    </row>
    <row r="65" spans="1:5" ht="13.5" customHeight="1">
      <c r="A65" s="859"/>
      <c r="B65" s="219" t="s">
        <v>588</v>
      </c>
      <c r="C65" s="215" t="s">
        <v>107</v>
      </c>
      <c r="D65" s="216">
        <v>74037</v>
      </c>
      <c r="E65" s="548">
        <v>27.398478</v>
      </c>
    </row>
    <row r="66" spans="1:5" ht="13.5" customHeight="1" thickBot="1">
      <c r="A66" s="860"/>
      <c r="B66" s="220" t="s">
        <v>591</v>
      </c>
      <c r="C66" s="221">
        <v>40371</v>
      </c>
      <c r="D66" s="221">
        <v>339165</v>
      </c>
      <c r="E66" s="555">
        <v>27.853206</v>
      </c>
    </row>
    <row r="67" spans="1:5" ht="13.5" customHeight="1">
      <c r="A67" s="858" t="s">
        <v>597</v>
      </c>
      <c r="B67" s="211" t="s">
        <v>583</v>
      </c>
      <c r="C67" s="223">
        <v>1438</v>
      </c>
      <c r="D67" s="224">
        <v>8510</v>
      </c>
      <c r="E67" s="553">
        <v>40.775875</v>
      </c>
    </row>
    <row r="68" spans="1:5" ht="13.5" customHeight="1">
      <c r="A68" s="859"/>
      <c r="B68" s="214" t="s">
        <v>584</v>
      </c>
      <c r="C68" s="215">
        <v>587</v>
      </c>
      <c r="D68" s="216">
        <v>4059</v>
      </c>
      <c r="E68" s="548">
        <v>28.290989</v>
      </c>
    </row>
    <row r="69" spans="1:5" ht="13.5" customHeight="1">
      <c r="A69" s="859"/>
      <c r="B69" s="217" t="s">
        <v>585</v>
      </c>
      <c r="C69" s="212">
        <v>187</v>
      </c>
      <c r="D69" s="213">
        <v>4164</v>
      </c>
      <c r="E69" s="554">
        <v>55.90763</v>
      </c>
    </row>
    <row r="70" spans="1:5" ht="13.5" customHeight="1">
      <c r="A70" s="859"/>
      <c r="B70" s="214" t="s">
        <v>586</v>
      </c>
      <c r="C70" s="215">
        <v>1838</v>
      </c>
      <c r="D70" s="216">
        <v>8405</v>
      </c>
      <c r="E70" s="548">
        <v>27.33743</v>
      </c>
    </row>
    <row r="71" spans="1:5" ht="13.5" customHeight="1">
      <c r="A71" s="859"/>
      <c r="B71" s="218" t="s">
        <v>587</v>
      </c>
      <c r="C71" s="226" t="s">
        <v>107</v>
      </c>
      <c r="D71" s="227">
        <v>11179</v>
      </c>
      <c r="E71" s="554">
        <v>37.793366</v>
      </c>
    </row>
    <row r="72" spans="1:5" ht="13.5" customHeight="1">
      <c r="A72" s="859"/>
      <c r="B72" s="219" t="s">
        <v>588</v>
      </c>
      <c r="C72" s="215" t="s">
        <v>107</v>
      </c>
      <c r="D72" s="216">
        <v>1390</v>
      </c>
      <c r="E72" s="548">
        <v>29.565968</v>
      </c>
    </row>
    <row r="73" spans="1:5" ht="13.5" customHeight="1" thickBot="1">
      <c r="A73" s="860"/>
      <c r="B73" s="220" t="s">
        <v>591</v>
      </c>
      <c r="C73" s="221">
        <v>2025</v>
      </c>
      <c r="D73" s="221">
        <v>12569</v>
      </c>
      <c r="E73" s="555">
        <v>36.956241</v>
      </c>
    </row>
    <row r="74" spans="1:5" ht="13.5" customHeight="1">
      <c r="A74" s="858" t="s">
        <v>598</v>
      </c>
      <c r="B74" s="211" t="s">
        <v>583</v>
      </c>
      <c r="C74" s="223">
        <v>14841</v>
      </c>
      <c r="D74" s="224">
        <v>68604</v>
      </c>
      <c r="E74" s="553">
        <v>27.303661</v>
      </c>
    </row>
    <row r="75" spans="1:5" ht="13.5" customHeight="1">
      <c r="A75" s="859"/>
      <c r="B75" s="214" t="s">
        <v>584</v>
      </c>
      <c r="C75" s="215">
        <v>3353</v>
      </c>
      <c r="D75" s="216">
        <v>24884</v>
      </c>
      <c r="E75" s="548">
        <v>22.756827</v>
      </c>
    </row>
    <row r="76" spans="1:5" ht="13.5" customHeight="1">
      <c r="A76" s="859"/>
      <c r="B76" s="217" t="s">
        <v>585</v>
      </c>
      <c r="C76" s="212">
        <v>1077</v>
      </c>
      <c r="D76" s="213">
        <v>8665</v>
      </c>
      <c r="E76" s="554">
        <v>52.676083</v>
      </c>
    </row>
    <row r="77" spans="1:5" ht="13.5" customHeight="1">
      <c r="A77" s="859"/>
      <c r="B77" s="214" t="s">
        <v>586</v>
      </c>
      <c r="C77" s="215">
        <v>17117</v>
      </c>
      <c r="D77" s="216">
        <v>84823</v>
      </c>
      <c r="E77" s="548">
        <v>23.437767</v>
      </c>
    </row>
    <row r="78" spans="1:5" ht="13.5" customHeight="1">
      <c r="A78" s="859"/>
      <c r="B78" s="218" t="s">
        <v>587</v>
      </c>
      <c r="C78" s="226" t="s">
        <v>107</v>
      </c>
      <c r="D78" s="227">
        <v>73595</v>
      </c>
      <c r="E78" s="554">
        <v>26.523272</v>
      </c>
    </row>
    <row r="79" spans="1:5" ht="13.5" customHeight="1">
      <c r="A79" s="859"/>
      <c r="B79" s="219" t="s">
        <v>588</v>
      </c>
      <c r="C79" s="215" t="s">
        <v>107</v>
      </c>
      <c r="D79" s="216">
        <v>19893</v>
      </c>
      <c r="E79" s="548">
        <v>25.466893</v>
      </c>
    </row>
    <row r="80" spans="1:5" ht="13.5" customHeight="1" thickBot="1">
      <c r="A80" s="860"/>
      <c r="B80" s="220" t="s">
        <v>591</v>
      </c>
      <c r="C80" s="221">
        <v>18194</v>
      </c>
      <c r="D80" s="221">
        <v>93488</v>
      </c>
      <c r="E80" s="555">
        <v>26.304818</v>
      </c>
    </row>
    <row r="81" spans="1:5" ht="13.5" customHeight="1">
      <c r="A81" s="858" t="s">
        <v>599</v>
      </c>
      <c r="B81" s="211" t="s">
        <v>583</v>
      </c>
      <c r="C81" s="223">
        <v>14735</v>
      </c>
      <c r="D81" s="224">
        <v>75302</v>
      </c>
      <c r="E81" s="553">
        <v>29.028778</v>
      </c>
    </row>
    <row r="82" spans="1:5" ht="13.5" customHeight="1">
      <c r="A82" s="859"/>
      <c r="B82" s="214" t="s">
        <v>584</v>
      </c>
      <c r="C82" s="215">
        <v>3649</v>
      </c>
      <c r="D82" s="216">
        <v>24079</v>
      </c>
      <c r="E82" s="548">
        <v>23.70977</v>
      </c>
    </row>
    <row r="83" spans="1:5" ht="13.5" customHeight="1">
      <c r="A83" s="859"/>
      <c r="B83" s="217" t="s">
        <v>585</v>
      </c>
      <c r="C83" s="212">
        <v>660</v>
      </c>
      <c r="D83" s="213">
        <v>11055</v>
      </c>
      <c r="E83" s="554">
        <v>54.898857</v>
      </c>
    </row>
    <row r="84" spans="1:5" ht="13.5" customHeight="1">
      <c r="A84" s="859"/>
      <c r="B84" s="214" t="s">
        <v>586</v>
      </c>
      <c r="C84" s="215">
        <v>17724</v>
      </c>
      <c r="D84" s="216">
        <v>88326</v>
      </c>
      <c r="E84" s="548">
        <v>24.442149</v>
      </c>
    </row>
    <row r="85" spans="1:5" ht="13.5" customHeight="1">
      <c r="A85" s="859"/>
      <c r="B85" s="218" t="s">
        <v>587</v>
      </c>
      <c r="C85" s="226" t="s">
        <v>107</v>
      </c>
      <c r="D85" s="227">
        <v>80779</v>
      </c>
      <c r="E85" s="554">
        <v>28.319244</v>
      </c>
    </row>
    <row r="86" spans="1:5" ht="13.5" customHeight="1">
      <c r="A86" s="859"/>
      <c r="B86" s="219" t="s">
        <v>588</v>
      </c>
      <c r="C86" s="215" t="s">
        <v>107</v>
      </c>
      <c r="D86" s="216">
        <v>18602</v>
      </c>
      <c r="E86" s="548">
        <v>25.833055</v>
      </c>
    </row>
    <row r="87" spans="1:5" ht="13.5" customHeight="1" thickBot="1">
      <c r="A87" s="860"/>
      <c r="B87" s="220" t="s">
        <v>591</v>
      </c>
      <c r="C87" s="221">
        <v>18384</v>
      </c>
      <c r="D87" s="221">
        <v>99381</v>
      </c>
      <c r="E87" s="555">
        <v>27.872715</v>
      </c>
    </row>
    <row r="88" spans="1:5" ht="13.5" customHeight="1">
      <c r="A88" s="858" t="s">
        <v>600</v>
      </c>
      <c r="B88" s="211" t="s">
        <v>583</v>
      </c>
      <c r="C88" s="223">
        <v>2307</v>
      </c>
      <c r="D88" s="224">
        <v>28444</v>
      </c>
      <c r="E88" s="553">
        <v>34.918574</v>
      </c>
    </row>
    <row r="89" spans="1:5" ht="13.5" customHeight="1">
      <c r="A89" s="859"/>
      <c r="B89" s="214" t="s">
        <v>584</v>
      </c>
      <c r="C89" s="215">
        <v>888</v>
      </c>
      <c r="D89" s="216">
        <v>5345</v>
      </c>
      <c r="E89" s="548">
        <v>25.503413</v>
      </c>
    </row>
    <row r="90" spans="1:5" ht="12" customHeight="1">
      <c r="A90" s="859"/>
      <c r="B90" s="217" t="s">
        <v>585</v>
      </c>
      <c r="C90" s="212">
        <v>147</v>
      </c>
      <c r="D90" s="213">
        <v>1665</v>
      </c>
      <c r="E90" s="554">
        <v>52.237291</v>
      </c>
    </row>
    <row r="91" spans="1:5" ht="15.75" customHeight="1">
      <c r="A91" s="859"/>
      <c r="B91" s="214" t="s">
        <v>586</v>
      </c>
      <c r="C91" s="215">
        <v>3048</v>
      </c>
      <c r="D91" s="216">
        <v>32124</v>
      </c>
      <c r="E91" s="548">
        <v>32.634723</v>
      </c>
    </row>
    <row r="92" spans="1:5" ht="21.75" customHeight="1">
      <c r="A92" s="859"/>
      <c r="B92" s="218" t="s">
        <v>587</v>
      </c>
      <c r="C92" s="226" t="s">
        <v>107</v>
      </c>
      <c r="D92" s="227">
        <v>28285</v>
      </c>
      <c r="E92" s="554">
        <v>34.840732</v>
      </c>
    </row>
    <row r="93" spans="1:5" ht="12.75">
      <c r="A93" s="859"/>
      <c r="B93" s="219" t="s">
        <v>588</v>
      </c>
      <c r="C93" s="215" t="s">
        <v>107</v>
      </c>
      <c r="D93" s="216">
        <v>5504</v>
      </c>
      <c r="E93" s="548">
        <v>26.817793</v>
      </c>
    </row>
    <row r="94" spans="1:5" ht="13.5" thickBot="1">
      <c r="A94" s="860"/>
      <c r="B94" s="220" t="s">
        <v>591</v>
      </c>
      <c r="C94" s="221">
        <v>3195</v>
      </c>
      <c r="D94" s="221">
        <v>33789</v>
      </c>
      <c r="E94" s="555">
        <v>33.561664</v>
      </c>
    </row>
    <row r="95" spans="1:5" ht="12.75" customHeight="1">
      <c r="A95" s="858" t="s">
        <v>601</v>
      </c>
      <c r="B95" s="211" t="s">
        <v>583</v>
      </c>
      <c r="C95" s="223">
        <v>542</v>
      </c>
      <c r="D95" s="224">
        <v>4286</v>
      </c>
      <c r="E95" s="553">
        <v>35.615185</v>
      </c>
    </row>
    <row r="96" spans="1:5" ht="12.75">
      <c r="A96" s="859"/>
      <c r="B96" s="214" t="s">
        <v>584</v>
      </c>
      <c r="C96" s="215">
        <v>398</v>
      </c>
      <c r="D96" s="216">
        <v>3506</v>
      </c>
      <c r="E96" s="548">
        <v>27.810401</v>
      </c>
    </row>
    <row r="97" spans="1:5" ht="12.75" customHeight="1">
      <c r="A97" s="859"/>
      <c r="B97" s="217" t="s">
        <v>585</v>
      </c>
      <c r="C97" s="212">
        <v>93</v>
      </c>
      <c r="D97" s="213">
        <v>2320</v>
      </c>
      <c r="E97" s="554">
        <v>56.583091</v>
      </c>
    </row>
    <row r="98" spans="1:5" ht="12.75">
      <c r="A98" s="859"/>
      <c r="B98" s="214" t="s">
        <v>586</v>
      </c>
      <c r="C98" s="215">
        <v>847</v>
      </c>
      <c r="D98" s="216">
        <v>5472</v>
      </c>
      <c r="E98" s="548">
        <v>22.956802</v>
      </c>
    </row>
    <row r="99" spans="1:5" ht="12.75" customHeight="1">
      <c r="A99" s="859"/>
      <c r="B99" s="218" t="s">
        <v>587</v>
      </c>
      <c r="C99" s="226" t="s">
        <v>107</v>
      </c>
      <c r="D99" s="227">
        <v>7021</v>
      </c>
      <c r="E99" s="554">
        <v>32.312505</v>
      </c>
    </row>
    <row r="100" spans="1:5" ht="12.75">
      <c r="A100" s="859"/>
      <c r="B100" s="219" t="s">
        <v>588</v>
      </c>
      <c r="C100" s="215" t="s">
        <v>107</v>
      </c>
      <c r="D100" s="216">
        <v>771</v>
      </c>
      <c r="E100" s="548">
        <v>30.599653</v>
      </c>
    </row>
    <row r="101" spans="1:5" ht="13.5" thickBot="1">
      <c r="A101" s="860"/>
      <c r="B101" s="220" t="s">
        <v>591</v>
      </c>
      <c r="C101" s="221">
        <v>940</v>
      </c>
      <c r="D101" s="221">
        <v>7792</v>
      </c>
      <c r="E101" s="555">
        <v>32.154336</v>
      </c>
    </row>
    <row r="102" spans="1:5" ht="12.75" customHeight="1">
      <c r="A102" s="858" t="s">
        <v>602</v>
      </c>
      <c r="B102" s="211" t="s">
        <v>583</v>
      </c>
      <c r="C102" s="223">
        <v>656</v>
      </c>
      <c r="D102" s="224">
        <v>4367</v>
      </c>
      <c r="E102" s="553">
        <v>44.908436</v>
      </c>
    </row>
    <row r="103" spans="1:5" ht="12.75">
      <c r="A103" s="859"/>
      <c r="B103" s="214" t="s">
        <v>584</v>
      </c>
      <c r="C103" s="215">
        <v>524</v>
      </c>
      <c r="D103" s="216">
        <v>3972</v>
      </c>
      <c r="E103" s="548">
        <v>26.759676</v>
      </c>
    </row>
    <row r="104" spans="1:5" ht="12.75" customHeight="1">
      <c r="A104" s="859"/>
      <c r="B104" s="217" t="s">
        <v>585</v>
      </c>
      <c r="C104" s="212">
        <v>159</v>
      </c>
      <c r="D104" s="213">
        <v>3386</v>
      </c>
      <c r="E104" s="554">
        <v>58.538633</v>
      </c>
    </row>
    <row r="105" spans="1:5" ht="12.75">
      <c r="A105" s="859"/>
      <c r="B105" s="214" t="s">
        <v>586</v>
      </c>
      <c r="C105" s="215">
        <v>1021</v>
      </c>
      <c r="D105" s="216">
        <v>4953</v>
      </c>
      <c r="E105" s="548">
        <v>21.248351</v>
      </c>
    </row>
    <row r="106" spans="1:5" ht="12.75" customHeight="1">
      <c r="A106" s="859"/>
      <c r="B106" s="218" t="s">
        <v>587</v>
      </c>
      <c r="C106" s="226" t="s">
        <v>107</v>
      </c>
      <c r="D106" s="227">
        <v>7474</v>
      </c>
      <c r="E106" s="554">
        <v>36.063803</v>
      </c>
    </row>
    <row r="107" spans="1:5" ht="12.75">
      <c r="A107" s="859"/>
      <c r="B107" s="219" t="s">
        <v>588</v>
      </c>
      <c r="C107" s="215" t="s">
        <v>107</v>
      </c>
      <c r="D107" s="216">
        <v>865</v>
      </c>
      <c r="E107" s="548">
        <v>45.136268</v>
      </c>
    </row>
    <row r="108" spans="1:5" ht="13.5" thickBot="1">
      <c r="A108" s="860"/>
      <c r="B108" s="220" t="s">
        <v>591</v>
      </c>
      <c r="C108" s="221">
        <v>1180</v>
      </c>
      <c r="D108" s="221">
        <v>8339</v>
      </c>
      <c r="E108" s="555">
        <v>36.885821</v>
      </c>
    </row>
    <row r="109" spans="1:5" ht="12.75">
      <c r="A109" s="229"/>
      <c r="B109" s="230"/>
      <c r="C109" s="231"/>
      <c r="D109" s="231"/>
      <c r="E109" s="558"/>
    </row>
    <row r="110" spans="1:5" ht="12.75">
      <c r="A110" s="229"/>
      <c r="B110" s="230"/>
      <c r="C110" s="231"/>
      <c r="D110" s="231"/>
      <c r="E110" s="558"/>
    </row>
    <row r="111" spans="1:5" ht="12.75">
      <c r="A111" s="232"/>
      <c r="B111" s="233"/>
      <c r="C111" s="233"/>
      <c r="D111" s="234"/>
      <c r="E111" s="235" t="s">
        <v>107</v>
      </c>
    </row>
    <row r="112" spans="1:5" ht="12.75">
      <c r="A112" s="232"/>
      <c r="B112" s="233"/>
      <c r="C112" s="233"/>
      <c r="D112" s="234"/>
      <c r="E112" s="235"/>
    </row>
    <row r="113" spans="1:5" ht="13.5" thickBot="1">
      <c r="A113" s="232"/>
      <c r="B113" s="233"/>
      <c r="C113" s="233"/>
      <c r="D113" s="234"/>
      <c r="E113" s="235"/>
    </row>
    <row r="114" spans="1:5" ht="12.75" customHeight="1">
      <c r="A114" s="867" t="s">
        <v>496</v>
      </c>
      <c r="B114" s="199"/>
      <c r="C114" s="200"/>
      <c r="D114" s="201" t="s">
        <v>501</v>
      </c>
      <c r="E114" s="550" t="s">
        <v>502</v>
      </c>
    </row>
    <row r="115" spans="1:5" ht="12.75">
      <c r="A115" s="868"/>
      <c r="B115" s="202" t="s">
        <v>578</v>
      </c>
      <c r="C115" s="203" t="s">
        <v>504</v>
      </c>
      <c r="D115" s="204" t="s">
        <v>505</v>
      </c>
      <c r="E115" s="551" t="s">
        <v>506</v>
      </c>
    </row>
    <row r="116" spans="1:5" ht="12.75" customHeight="1">
      <c r="A116" s="868"/>
      <c r="B116" s="205" t="s">
        <v>579</v>
      </c>
      <c r="C116" s="206" t="s">
        <v>508</v>
      </c>
      <c r="D116" s="207" t="s">
        <v>509</v>
      </c>
      <c r="E116" s="551" t="s">
        <v>580</v>
      </c>
    </row>
    <row r="117" spans="1:5" ht="13.5" thickBot="1">
      <c r="A117" s="869"/>
      <c r="B117" s="208"/>
      <c r="C117" s="209" t="s">
        <v>510</v>
      </c>
      <c r="D117" s="210" t="s">
        <v>511</v>
      </c>
      <c r="E117" s="557" t="s">
        <v>581</v>
      </c>
    </row>
    <row r="118" spans="1:5" ht="12.75" customHeight="1">
      <c r="A118" s="858" t="s">
        <v>603</v>
      </c>
      <c r="B118" s="211" t="s">
        <v>583</v>
      </c>
      <c r="C118" s="223">
        <v>3789</v>
      </c>
      <c r="D118" s="223">
        <v>28488</v>
      </c>
      <c r="E118" s="553">
        <v>32.178331</v>
      </c>
    </row>
    <row r="119" spans="1:5" ht="12.75">
      <c r="A119" s="859"/>
      <c r="B119" s="214" t="s">
        <v>584</v>
      </c>
      <c r="C119" s="215">
        <v>822</v>
      </c>
      <c r="D119" s="215">
        <v>6924</v>
      </c>
      <c r="E119" s="548">
        <v>23.842366</v>
      </c>
    </row>
    <row r="120" spans="1:5" ht="12.75" customHeight="1">
      <c r="A120" s="859"/>
      <c r="B120" s="217" t="s">
        <v>585</v>
      </c>
      <c r="C120" s="212">
        <v>228</v>
      </c>
      <c r="D120" s="212">
        <v>3045</v>
      </c>
      <c r="E120" s="554">
        <v>63.782744</v>
      </c>
    </row>
    <row r="121" spans="1:5" ht="12.75">
      <c r="A121" s="859"/>
      <c r="B121" s="214" t="s">
        <v>586</v>
      </c>
      <c r="C121" s="215">
        <v>4383</v>
      </c>
      <c r="D121" s="215">
        <v>32367</v>
      </c>
      <c r="E121" s="548">
        <v>27.847812</v>
      </c>
    </row>
    <row r="122" spans="1:5" ht="12.75" customHeight="1">
      <c r="A122" s="859"/>
      <c r="B122" s="218" t="s">
        <v>587</v>
      </c>
      <c r="C122" s="226" t="s">
        <v>107</v>
      </c>
      <c r="D122" s="226">
        <v>27904</v>
      </c>
      <c r="E122" s="554">
        <v>31.738937</v>
      </c>
    </row>
    <row r="123" spans="1:5" ht="12.75">
      <c r="A123" s="859"/>
      <c r="B123" s="219" t="s">
        <v>588</v>
      </c>
      <c r="C123" s="215" t="s">
        <v>107</v>
      </c>
      <c r="D123" s="215">
        <v>7508</v>
      </c>
      <c r="E123" s="548">
        <v>26.522827</v>
      </c>
    </row>
    <row r="124" spans="1:5" ht="13.5" thickBot="1">
      <c r="A124" s="860"/>
      <c r="B124" s="220" t="s">
        <v>591</v>
      </c>
      <c r="C124" s="221">
        <v>4611</v>
      </c>
      <c r="D124" s="221">
        <v>35412</v>
      </c>
      <c r="E124" s="555">
        <v>30.672897</v>
      </c>
    </row>
    <row r="125" spans="1:5" ht="12.75" customHeight="1">
      <c r="A125" s="858" t="s">
        <v>604</v>
      </c>
      <c r="B125" s="211" t="s">
        <v>583</v>
      </c>
      <c r="C125" s="223">
        <v>3039</v>
      </c>
      <c r="D125" s="223">
        <v>16299</v>
      </c>
      <c r="E125" s="553">
        <v>26.467732</v>
      </c>
    </row>
    <row r="126" spans="1:5" ht="12.75">
      <c r="A126" s="859"/>
      <c r="B126" s="214" t="s">
        <v>584</v>
      </c>
      <c r="C126" s="215">
        <v>856</v>
      </c>
      <c r="D126" s="215">
        <v>5335</v>
      </c>
      <c r="E126" s="548">
        <v>21.592763</v>
      </c>
    </row>
    <row r="127" spans="1:5" ht="12.75" customHeight="1">
      <c r="A127" s="859"/>
      <c r="B127" s="217" t="s">
        <v>585</v>
      </c>
      <c r="C127" s="212">
        <v>181</v>
      </c>
      <c r="D127" s="212">
        <v>2406</v>
      </c>
      <c r="E127" s="554">
        <v>51.081117</v>
      </c>
    </row>
    <row r="128" spans="1:5" ht="12.75">
      <c r="A128" s="859"/>
      <c r="B128" s="214" t="s">
        <v>586</v>
      </c>
      <c r="C128" s="215">
        <v>3714</v>
      </c>
      <c r="D128" s="215">
        <v>19228</v>
      </c>
      <c r="E128" s="548">
        <v>22.019138</v>
      </c>
    </row>
    <row r="129" spans="1:5" ht="12.75" customHeight="1">
      <c r="A129" s="859"/>
      <c r="B129" s="218" t="s">
        <v>587</v>
      </c>
      <c r="C129" s="226" t="s">
        <v>107</v>
      </c>
      <c r="D129" s="226">
        <v>18150</v>
      </c>
      <c r="E129" s="554">
        <v>25.696532</v>
      </c>
    </row>
    <row r="130" spans="1:5" ht="12.75">
      <c r="A130" s="859"/>
      <c r="B130" s="219" t="s">
        <v>588</v>
      </c>
      <c r="C130" s="215" t="s">
        <v>107</v>
      </c>
      <c r="D130" s="215">
        <v>3484</v>
      </c>
      <c r="E130" s="548">
        <v>23.542393</v>
      </c>
    </row>
    <row r="131" spans="1:5" ht="13.5" thickBot="1">
      <c r="A131" s="860"/>
      <c r="B131" s="220" t="s">
        <v>591</v>
      </c>
      <c r="C131" s="221">
        <v>3895</v>
      </c>
      <c r="D131" s="221">
        <v>21634</v>
      </c>
      <c r="E131" s="555">
        <v>25.371789</v>
      </c>
    </row>
    <row r="132" spans="1:5" ht="12.75" customHeight="1">
      <c r="A132" s="858" t="s">
        <v>605</v>
      </c>
      <c r="B132" s="211" t="s">
        <v>583</v>
      </c>
      <c r="C132" s="223">
        <v>40645</v>
      </c>
      <c r="D132" s="223">
        <v>386608</v>
      </c>
      <c r="E132" s="553">
        <v>32.195889</v>
      </c>
    </row>
    <row r="133" spans="1:5" ht="12.75">
      <c r="A133" s="859"/>
      <c r="B133" s="214" t="s">
        <v>584</v>
      </c>
      <c r="C133" s="215">
        <v>5340</v>
      </c>
      <c r="D133" s="215">
        <v>52921</v>
      </c>
      <c r="E133" s="548">
        <v>23.506244</v>
      </c>
    </row>
    <row r="134" spans="1:5" ht="12.75" customHeight="1">
      <c r="A134" s="859"/>
      <c r="B134" s="217" t="s">
        <v>585</v>
      </c>
      <c r="C134" s="212">
        <v>645</v>
      </c>
      <c r="D134" s="212">
        <v>16381</v>
      </c>
      <c r="E134" s="554">
        <v>57.82862</v>
      </c>
    </row>
    <row r="135" spans="1:5" ht="12.75">
      <c r="A135" s="859"/>
      <c r="B135" s="214" t="s">
        <v>586</v>
      </c>
      <c r="C135" s="215">
        <v>45340</v>
      </c>
      <c r="D135" s="215">
        <v>423148</v>
      </c>
      <c r="E135" s="548">
        <v>30.299207</v>
      </c>
    </row>
    <row r="136" spans="1:5" ht="12.75" customHeight="1">
      <c r="A136" s="859"/>
      <c r="B136" s="218" t="s">
        <v>587</v>
      </c>
      <c r="C136" s="226" t="s">
        <v>107</v>
      </c>
      <c r="D136" s="226">
        <v>328299</v>
      </c>
      <c r="E136" s="554">
        <v>32.492056</v>
      </c>
    </row>
    <row r="137" spans="1:5" ht="12.75">
      <c r="A137" s="859"/>
      <c r="B137" s="219" t="s">
        <v>588</v>
      </c>
      <c r="C137" s="215" t="s">
        <v>107</v>
      </c>
      <c r="D137" s="215">
        <v>111230</v>
      </c>
      <c r="E137" s="548">
        <v>27.401701</v>
      </c>
    </row>
    <row r="138" spans="1:5" ht="13.5" thickBot="1">
      <c r="A138" s="860"/>
      <c r="B138" s="220" t="s">
        <v>591</v>
      </c>
      <c r="C138" s="221">
        <v>45985</v>
      </c>
      <c r="D138" s="221">
        <v>439529</v>
      </c>
      <c r="E138" s="555">
        <v>31.236896</v>
      </c>
    </row>
    <row r="139" spans="1:5" ht="12.75" customHeight="1">
      <c r="A139" s="870" t="s">
        <v>606</v>
      </c>
      <c r="B139" s="211" t="s">
        <v>583</v>
      </c>
      <c r="C139" s="223">
        <v>6682</v>
      </c>
      <c r="D139" s="223">
        <v>34249</v>
      </c>
      <c r="E139" s="553">
        <v>30.315993</v>
      </c>
    </row>
    <row r="140" spans="1:5" ht="12.75">
      <c r="A140" s="859"/>
      <c r="B140" s="214" t="s">
        <v>584</v>
      </c>
      <c r="C140" s="215">
        <v>1920</v>
      </c>
      <c r="D140" s="215">
        <v>15405</v>
      </c>
      <c r="E140" s="548">
        <v>24.986842</v>
      </c>
    </row>
    <row r="141" spans="1:5" ht="12.75" customHeight="1">
      <c r="A141" s="859"/>
      <c r="B141" s="217" t="s">
        <v>585</v>
      </c>
      <c r="C141" s="212">
        <v>363</v>
      </c>
      <c r="D141" s="212">
        <v>5155</v>
      </c>
      <c r="E141" s="554">
        <v>54.742444</v>
      </c>
    </row>
    <row r="142" spans="1:5" ht="12.75">
      <c r="A142" s="859"/>
      <c r="B142" s="214" t="s">
        <v>586</v>
      </c>
      <c r="C142" s="215">
        <v>8239</v>
      </c>
      <c r="D142" s="215">
        <v>44499</v>
      </c>
      <c r="E142" s="548">
        <v>25.740891</v>
      </c>
    </row>
    <row r="143" spans="1:5" ht="12.75" customHeight="1">
      <c r="A143" s="859"/>
      <c r="B143" s="218" t="s">
        <v>587</v>
      </c>
      <c r="C143" s="226" t="s">
        <v>107</v>
      </c>
      <c r="D143" s="226">
        <v>40754</v>
      </c>
      <c r="E143" s="554">
        <v>29.794603</v>
      </c>
    </row>
    <row r="144" spans="1:5" ht="12.75">
      <c r="A144" s="859"/>
      <c r="B144" s="219" t="s">
        <v>588</v>
      </c>
      <c r="C144" s="215" t="s">
        <v>107</v>
      </c>
      <c r="D144" s="215">
        <v>8900</v>
      </c>
      <c r="E144" s="548">
        <v>24.467596</v>
      </c>
    </row>
    <row r="145" spans="1:5" ht="13.5" thickBot="1">
      <c r="A145" s="860"/>
      <c r="B145" s="220" t="s">
        <v>591</v>
      </c>
      <c r="C145" s="221">
        <v>8602</v>
      </c>
      <c r="D145" s="221">
        <v>49654</v>
      </c>
      <c r="E145" s="555">
        <v>28.862979</v>
      </c>
    </row>
    <row r="146" spans="1:5" ht="12.75" customHeight="1">
      <c r="A146" s="858" t="s">
        <v>607</v>
      </c>
      <c r="B146" s="211" t="s">
        <v>583</v>
      </c>
      <c r="C146" s="223">
        <v>1625</v>
      </c>
      <c r="D146" s="223">
        <v>10774</v>
      </c>
      <c r="E146" s="553">
        <v>31.096154</v>
      </c>
    </row>
    <row r="147" spans="1:5" ht="12.75">
      <c r="A147" s="859"/>
      <c r="B147" s="214" t="s">
        <v>584</v>
      </c>
      <c r="C147" s="215">
        <v>467</v>
      </c>
      <c r="D147" s="215">
        <v>3014</v>
      </c>
      <c r="E147" s="548">
        <v>23.026851</v>
      </c>
    </row>
    <row r="148" spans="1:5" ht="12.75" customHeight="1">
      <c r="A148" s="859"/>
      <c r="B148" s="217" t="s">
        <v>585</v>
      </c>
      <c r="C148" s="212">
        <v>165</v>
      </c>
      <c r="D148" s="212">
        <v>2605</v>
      </c>
      <c r="E148" s="554">
        <v>55.569555</v>
      </c>
    </row>
    <row r="149" spans="1:5" ht="12.75">
      <c r="A149" s="859"/>
      <c r="B149" s="214" t="s">
        <v>586</v>
      </c>
      <c r="C149" s="215">
        <v>1927</v>
      </c>
      <c r="D149" s="215">
        <v>11183</v>
      </c>
      <c r="E149" s="548">
        <v>23.424007</v>
      </c>
    </row>
    <row r="150" spans="1:5" ht="12.75" customHeight="1">
      <c r="A150" s="859"/>
      <c r="B150" s="218" t="s">
        <v>587</v>
      </c>
      <c r="C150" s="226" t="s">
        <v>107</v>
      </c>
      <c r="D150" s="226">
        <v>11553</v>
      </c>
      <c r="E150" s="554">
        <v>30.262345</v>
      </c>
    </row>
    <row r="151" spans="1:5" ht="12.75">
      <c r="A151" s="859"/>
      <c r="B151" s="219" t="s">
        <v>588</v>
      </c>
      <c r="C151" s="215" t="s">
        <v>107</v>
      </c>
      <c r="D151" s="215">
        <v>2235</v>
      </c>
      <c r="E151" s="548">
        <v>25.592954</v>
      </c>
    </row>
    <row r="152" spans="1:5" ht="13.5" thickBot="1">
      <c r="A152" s="860"/>
      <c r="B152" s="220" t="s">
        <v>591</v>
      </c>
      <c r="C152" s="221">
        <v>2092</v>
      </c>
      <c r="D152" s="221">
        <v>13788</v>
      </c>
      <c r="E152" s="555">
        <v>29.555294</v>
      </c>
    </row>
    <row r="153" spans="1:5" ht="12.75" customHeight="1">
      <c r="A153" s="858" t="s">
        <v>608</v>
      </c>
      <c r="B153" s="211" t="s">
        <v>583</v>
      </c>
      <c r="C153" s="223">
        <v>4619</v>
      </c>
      <c r="D153" s="223">
        <v>30109</v>
      </c>
      <c r="E153" s="553">
        <v>25.521358</v>
      </c>
    </row>
    <row r="154" spans="1:5" ht="12.75">
      <c r="A154" s="859"/>
      <c r="B154" s="214" t="s">
        <v>584</v>
      </c>
      <c r="C154" s="215">
        <v>1525</v>
      </c>
      <c r="D154" s="215">
        <v>9013</v>
      </c>
      <c r="E154" s="548">
        <v>22.336431</v>
      </c>
    </row>
    <row r="155" spans="1:5" ht="12.75" customHeight="1">
      <c r="A155" s="859"/>
      <c r="B155" s="217" t="s">
        <v>585</v>
      </c>
      <c r="C155" s="212">
        <v>395</v>
      </c>
      <c r="D155" s="212">
        <v>3860</v>
      </c>
      <c r="E155" s="554">
        <v>51.969087</v>
      </c>
    </row>
    <row r="156" spans="1:5" ht="12.75">
      <c r="A156" s="859"/>
      <c r="B156" s="214" t="s">
        <v>586</v>
      </c>
      <c r="C156" s="215">
        <v>5749</v>
      </c>
      <c r="D156" s="215">
        <v>35262</v>
      </c>
      <c r="E156" s="548">
        <v>21.844873</v>
      </c>
    </row>
    <row r="157" spans="1:5" ht="12.75" customHeight="1">
      <c r="A157" s="859"/>
      <c r="B157" s="218" t="s">
        <v>587</v>
      </c>
      <c r="C157" s="226" t="s">
        <v>107</v>
      </c>
      <c r="D157" s="226">
        <v>32343</v>
      </c>
      <c r="E157" s="554">
        <v>25.306226</v>
      </c>
    </row>
    <row r="158" spans="1:5" ht="12.75">
      <c r="A158" s="859"/>
      <c r="B158" s="219" t="s">
        <v>588</v>
      </c>
      <c r="C158" s="215" t="s">
        <v>107</v>
      </c>
      <c r="D158" s="215">
        <v>6779</v>
      </c>
      <c r="E158" s="548">
        <v>22.515025</v>
      </c>
    </row>
    <row r="159" spans="1:5" ht="13.5" thickBot="1">
      <c r="A159" s="860"/>
      <c r="B159" s="220" t="s">
        <v>591</v>
      </c>
      <c r="C159" s="221">
        <v>6144</v>
      </c>
      <c r="D159" s="221">
        <v>39122</v>
      </c>
      <c r="E159" s="555">
        <v>24.839259</v>
      </c>
    </row>
    <row r="160" spans="1:5" ht="12.75" customHeight="1">
      <c r="A160" s="858" t="s">
        <v>609</v>
      </c>
      <c r="B160" s="211" t="s">
        <v>583</v>
      </c>
      <c r="C160" s="223">
        <v>14007</v>
      </c>
      <c r="D160" s="223">
        <v>120556</v>
      </c>
      <c r="E160" s="553">
        <v>24.888399</v>
      </c>
    </row>
    <row r="161" spans="1:5" ht="12.75">
      <c r="A161" s="859"/>
      <c r="B161" s="214" t="s">
        <v>584</v>
      </c>
      <c r="C161" s="215">
        <v>2890</v>
      </c>
      <c r="D161" s="215">
        <v>20494</v>
      </c>
      <c r="E161" s="548">
        <v>22.121448</v>
      </c>
    </row>
    <row r="162" spans="1:5" ht="12.75" customHeight="1">
      <c r="A162" s="859"/>
      <c r="B162" s="217" t="s">
        <v>585</v>
      </c>
      <c r="C162" s="212">
        <v>430</v>
      </c>
      <c r="D162" s="212">
        <v>6501</v>
      </c>
      <c r="E162" s="554">
        <v>44.775506</v>
      </c>
    </row>
    <row r="163" spans="1:5" ht="12.75">
      <c r="A163" s="859"/>
      <c r="B163" s="214" t="s">
        <v>586</v>
      </c>
      <c r="C163" s="215">
        <v>16467</v>
      </c>
      <c r="D163" s="215">
        <v>134549</v>
      </c>
      <c r="E163" s="548">
        <v>23.591057</v>
      </c>
    </row>
    <row r="164" spans="1:5" ht="12.75" customHeight="1">
      <c r="A164" s="859"/>
      <c r="B164" s="218" t="s">
        <v>587</v>
      </c>
      <c r="C164" s="226" t="s">
        <v>107</v>
      </c>
      <c r="D164" s="226">
        <v>98964</v>
      </c>
      <c r="E164" s="554">
        <v>25.449573</v>
      </c>
    </row>
    <row r="165" spans="1:5" ht="12.75">
      <c r="A165" s="859"/>
      <c r="B165" s="219" t="s">
        <v>588</v>
      </c>
      <c r="C165" s="215" t="s">
        <v>107</v>
      </c>
      <c r="D165" s="215">
        <v>42086</v>
      </c>
      <c r="E165" s="548">
        <v>22.478519</v>
      </c>
    </row>
    <row r="166" spans="1:5" ht="13.5" thickBot="1">
      <c r="A166" s="860"/>
      <c r="B166" s="220" t="s">
        <v>591</v>
      </c>
      <c r="C166" s="221">
        <v>16897</v>
      </c>
      <c r="D166" s="221">
        <v>141050</v>
      </c>
      <c r="E166" s="555">
        <v>24.568409</v>
      </c>
    </row>
    <row r="167" spans="1:5" ht="12.75">
      <c r="A167" s="194"/>
      <c r="B167" s="195"/>
      <c r="C167" s="196"/>
      <c r="D167" s="196"/>
      <c r="E167" s="556"/>
    </row>
    <row r="168" spans="1:5" ht="12.75">
      <c r="A168" s="194"/>
      <c r="B168" s="195"/>
      <c r="C168" s="196"/>
      <c r="D168" s="196"/>
      <c r="E168" s="556"/>
    </row>
    <row r="169" spans="1:5" ht="12.75">
      <c r="A169" s="194"/>
      <c r="B169" s="195"/>
      <c r="C169" s="196"/>
      <c r="D169" s="196"/>
      <c r="E169" s="556"/>
    </row>
    <row r="170" spans="1:5" ht="12.75">
      <c r="A170" s="194"/>
      <c r="B170" s="195"/>
      <c r="C170" s="196"/>
      <c r="D170" s="196"/>
      <c r="E170" s="556"/>
    </row>
    <row r="171" spans="1:5" ht="12.75">
      <c r="A171" s="194"/>
      <c r="B171" s="195"/>
      <c r="C171" s="196"/>
      <c r="D171" s="196"/>
      <c r="E171" s="556"/>
    </row>
    <row r="172" spans="1:5" ht="12.75">
      <c r="A172" s="194"/>
      <c r="B172" s="195"/>
      <c r="C172" s="196"/>
      <c r="D172" s="196"/>
      <c r="E172" s="556"/>
    </row>
    <row r="173" spans="1:5" ht="12.75">
      <c r="A173" s="190"/>
      <c r="B173" s="191"/>
      <c r="C173" s="191"/>
      <c r="D173" s="192"/>
      <c r="E173" s="193"/>
    </row>
    <row r="174" spans="1:5" ht="13.5" thickBot="1">
      <c r="A174" s="190"/>
      <c r="B174" s="191"/>
      <c r="C174" s="191"/>
      <c r="D174" s="192"/>
      <c r="E174" s="193"/>
    </row>
    <row r="175" spans="1:5" ht="12.75" customHeight="1">
      <c r="A175" s="867" t="s">
        <v>496</v>
      </c>
      <c r="B175" s="199"/>
      <c r="C175" s="201"/>
      <c r="D175" s="201" t="s">
        <v>501</v>
      </c>
      <c r="E175" s="550" t="s">
        <v>502</v>
      </c>
    </row>
    <row r="176" spans="1:5" ht="12.75">
      <c r="A176" s="868"/>
      <c r="B176" s="202" t="s">
        <v>578</v>
      </c>
      <c r="C176" s="204" t="s">
        <v>504</v>
      </c>
      <c r="D176" s="204" t="s">
        <v>505</v>
      </c>
      <c r="E176" s="551" t="s">
        <v>506</v>
      </c>
    </row>
    <row r="177" spans="1:5" ht="12.75" customHeight="1">
      <c r="A177" s="868"/>
      <c r="B177" s="205" t="s">
        <v>579</v>
      </c>
      <c r="C177" s="207" t="s">
        <v>508</v>
      </c>
      <c r="D177" s="207" t="s">
        <v>509</v>
      </c>
      <c r="E177" s="551" t="s">
        <v>580</v>
      </c>
    </row>
    <row r="178" spans="1:5" ht="13.5" thickBot="1">
      <c r="A178" s="869"/>
      <c r="B178" s="208"/>
      <c r="C178" s="210" t="s">
        <v>510</v>
      </c>
      <c r="D178" s="210" t="s">
        <v>511</v>
      </c>
      <c r="E178" s="557" t="s">
        <v>581</v>
      </c>
    </row>
    <row r="179" spans="1:5" ht="12.75" customHeight="1">
      <c r="A179" s="858" t="s">
        <v>610</v>
      </c>
      <c r="B179" s="211" t="s">
        <v>583</v>
      </c>
      <c r="C179" s="223">
        <v>6465</v>
      </c>
      <c r="D179" s="223">
        <v>42830</v>
      </c>
      <c r="E179" s="553">
        <v>34.784767</v>
      </c>
    </row>
    <row r="180" spans="1:5" ht="12.75">
      <c r="A180" s="859"/>
      <c r="B180" s="214" t="s">
        <v>584</v>
      </c>
      <c r="C180" s="215">
        <v>1202</v>
      </c>
      <c r="D180" s="215">
        <v>22542</v>
      </c>
      <c r="E180" s="548">
        <v>23.213645</v>
      </c>
    </row>
    <row r="181" spans="1:5" ht="12.75" customHeight="1">
      <c r="A181" s="859"/>
      <c r="B181" s="217" t="s">
        <v>585</v>
      </c>
      <c r="C181" s="212">
        <v>392</v>
      </c>
      <c r="D181" s="212">
        <v>13654</v>
      </c>
      <c r="E181" s="554">
        <v>60.360047</v>
      </c>
    </row>
    <row r="182" spans="1:5" ht="12.75">
      <c r="A182" s="859"/>
      <c r="B182" s="214" t="s">
        <v>586</v>
      </c>
      <c r="C182" s="215">
        <v>7275</v>
      </c>
      <c r="D182" s="215">
        <v>51718</v>
      </c>
      <c r="E182" s="548">
        <v>23.889258</v>
      </c>
    </row>
    <row r="183" spans="1:5" ht="12.75" customHeight="1">
      <c r="A183" s="859"/>
      <c r="B183" s="218" t="s">
        <v>587</v>
      </c>
      <c r="C183" s="226" t="s">
        <v>107</v>
      </c>
      <c r="D183" s="226">
        <v>56339</v>
      </c>
      <c r="E183" s="554">
        <v>31.311094</v>
      </c>
    </row>
    <row r="184" spans="1:5" ht="12.75">
      <c r="A184" s="859"/>
      <c r="B184" s="219" t="s">
        <v>588</v>
      </c>
      <c r="C184" s="215" t="s">
        <v>107</v>
      </c>
      <c r="D184" s="215">
        <v>9033</v>
      </c>
      <c r="E184" s="548">
        <v>29.921812</v>
      </c>
    </row>
    <row r="185" spans="1:5" ht="13.5" thickBot="1">
      <c r="A185" s="860"/>
      <c r="B185" s="220" t="s">
        <v>591</v>
      </c>
      <c r="C185" s="221">
        <v>7667</v>
      </c>
      <c r="D185" s="221">
        <v>65372</v>
      </c>
      <c r="E185" s="555">
        <v>31.137448</v>
      </c>
    </row>
    <row r="186" spans="1:5" ht="12.75" customHeight="1">
      <c r="A186" s="858" t="s">
        <v>611</v>
      </c>
      <c r="B186" s="211" t="s">
        <v>583</v>
      </c>
      <c r="C186" s="223">
        <v>5243</v>
      </c>
      <c r="D186" s="223">
        <v>26733</v>
      </c>
      <c r="E186" s="553">
        <v>27.661975</v>
      </c>
    </row>
    <row r="187" spans="1:5" ht="12.75">
      <c r="A187" s="859"/>
      <c r="B187" s="214" t="s">
        <v>584</v>
      </c>
      <c r="C187" s="215">
        <v>1066</v>
      </c>
      <c r="D187" s="215">
        <v>9164</v>
      </c>
      <c r="E187" s="548">
        <v>23.503819</v>
      </c>
    </row>
    <row r="188" spans="1:5" ht="12.75" customHeight="1">
      <c r="A188" s="859"/>
      <c r="B188" s="217" t="s">
        <v>585</v>
      </c>
      <c r="C188" s="212">
        <v>284</v>
      </c>
      <c r="D188" s="212">
        <v>3895</v>
      </c>
      <c r="E188" s="554">
        <v>50.886125</v>
      </c>
    </row>
    <row r="189" spans="1:5" ht="12.75">
      <c r="A189" s="859"/>
      <c r="B189" s="214" t="s">
        <v>586</v>
      </c>
      <c r="C189" s="215">
        <v>6025</v>
      </c>
      <c r="D189" s="215">
        <v>32002</v>
      </c>
      <c r="E189" s="548">
        <v>24.036209</v>
      </c>
    </row>
    <row r="190" spans="1:5" ht="12.75" customHeight="1">
      <c r="A190" s="859"/>
      <c r="B190" s="218" t="s">
        <v>587</v>
      </c>
      <c r="C190" s="226" t="s">
        <v>107</v>
      </c>
      <c r="D190" s="226">
        <v>26497</v>
      </c>
      <c r="E190" s="554">
        <v>27.561387</v>
      </c>
    </row>
    <row r="191" spans="1:5" ht="12.75">
      <c r="A191" s="859"/>
      <c r="B191" s="219" t="s">
        <v>588</v>
      </c>
      <c r="C191" s="215" t="s">
        <v>107</v>
      </c>
      <c r="D191" s="215">
        <v>9400</v>
      </c>
      <c r="E191" s="548">
        <v>24.349261</v>
      </c>
    </row>
    <row r="192" spans="1:5" ht="13.5" thickBot="1">
      <c r="A192" s="860"/>
      <c r="B192" s="220" t="s">
        <v>591</v>
      </c>
      <c r="C192" s="221">
        <v>6309</v>
      </c>
      <c r="D192" s="221">
        <v>35897</v>
      </c>
      <c r="E192" s="555">
        <v>26.725253</v>
      </c>
    </row>
    <row r="193" spans="1:5" ht="12.75" customHeight="1">
      <c r="A193" s="858" t="s">
        <v>612</v>
      </c>
      <c r="B193" s="211" t="s">
        <v>583</v>
      </c>
      <c r="C193" s="223">
        <v>3078</v>
      </c>
      <c r="D193" s="223">
        <v>23544</v>
      </c>
      <c r="E193" s="553">
        <v>32.187068</v>
      </c>
    </row>
    <row r="194" spans="1:5" ht="12.75">
      <c r="A194" s="859"/>
      <c r="B194" s="214" t="s">
        <v>584</v>
      </c>
      <c r="C194" s="215">
        <v>1006</v>
      </c>
      <c r="D194" s="215">
        <v>12335</v>
      </c>
      <c r="E194" s="548">
        <v>24.746699</v>
      </c>
    </row>
    <row r="195" spans="1:5" ht="12.75" customHeight="1">
      <c r="A195" s="859"/>
      <c r="B195" s="217" t="s">
        <v>585</v>
      </c>
      <c r="C195" s="212">
        <v>218</v>
      </c>
      <c r="D195" s="212">
        <v>7143</v>
      </c>
      <c r="E195" s="554">
        <v>61.149058</v>
      </c>
    </row>
    <row r="196" spans="1:5" ht="12.75">
      <c r="A196" s="859"/>
      <c r="B196" s="214" t="s">
        <v>586</v>
      </c>
      <c r="C196" s="215">
        <v>3866</v>
      </c>
      <c r="D196" s="215">
        <v>28736</v>
      </c>
      <c r="E196" s="548">
        <v>22.270658</v>
      </c>
    </row>
    <row r="197" spans="1:5" ht="12.75" customHeight="1">
      <c r="A197" s="859"/>
      <c r="B197" s="218" t="s">
        <v>587</v>
      </c>
      <c r="C197" s="226" t="s">
        <v>107</v>
      </c>
      <c r="D197" s="226">
        <v>31418</v>
      </c>
      <c r="E197" s="554">
        <v>30.258255</v>
      </c>
    </row>
    <row r="198" spans="1:5" ht="12.75">
      <c r="A198" s="859"/>
      <c r="B198" s="219" t="s">
        <v>588</v>
      </c>
      <c r="C198" s="215" t="s">
        <v>107</v>
      </c>
      <c r="D198" s="215">
        <v>4461</v>
      </c>
      <c r="E198" s="548">
        <v>26.495197</v>
      </c>
    </row>
    <row r="199" spans="1:5" ht="13.5" thickBot="1">
      <c r="A199" s="860"/>
      <c r="B199" s="220" t="s">
        <v>591</v>
      </c>
      <c r="C199" s="221">
        <v>4084</v>
      </c>
      <c r="D199" s="221">
        <v>35879</v>
      </c>
      <c r="E199" s="555">
        <v>29.830823</v>
      </c>
    </row>
    <row r="200" spans="1:5" ht="12.75" customHeight="1">
      <c r="A200" s="858" t="s">
        <v>613</v>
      </c>
      <c r="B200" s="211" t="s">
        <v>583</v>
      </c>
      <c r="C200" s="223">
        <v>1529</v>
      </c>
      <c r="D200" s="223">
        <v>9283</v>
      </c>
      <c r="E200" s="553">
        <v>34.991468</v>
      </c>
    </row>
    <row r="201" spans="1:5" ht="12.75">
      <c r="A201" s="859"/>
      <c r="B201" s="214" t="s">
        <v>584</v>
      </c>
      <c r="C201" s="215">
        <v>576</v>
      </c>
      <c r="D201" s="215">
        <v>5741</v>
      </c>
      <c r="E201" s="548">
        <v>26.338645</v>
      </c>
    </row>
    <row r="202" spans="1:5" ht="12.75" customHeight="1">
      <c r="A202" s="859"/>
      <c r="B202" s="217" t="s">
        <v>585</v>
      </c>
      <c r="C202" s="212">
        <v>184</v>
      </c>
      <c r="D202" s="212">
        <v>3544</v>
      </c>
      <c r="E202" s="554">
        <v>60.523404</v>
      </c>
    </row>
    <row r="203" spans="1:5" ht="12.75">
      <c r="A203" s="859"/>
      <c r="B203" s="214" t="s">
        <v>586</v>
      </c>
      <c r="C203" s="215">
        <v>1921</v>
      </c>
      <c r="D203" s="215">
        <v>11480</v>
      </c>
      <c r="E203" s="548">
        <v>22.867672</v>
      </c>
    </row>
    <row r="204" spans="1:5" ht="12.75" customHeight="1">
      <c r="A204" s="859"/>
      <c r="B204" s="218" t="s">
        <v>587</v>
      </c>
      <c r="C204" s="226" t="s">
        <v>107</v>
      </c>
      <c r="D204" s="226">
        <v>13179</v>
      </c>
      <c r="E204" s="554">
        <v>32.472979</v>
      </c>
    </row>
    <row r="205" spans="1:5" ht="12.75">
      <c r="A205" s="859"/>
      <c r="B205" s="219" t="s">
        <v>588</v>
      </c>
      <c r="C205" s="215" t="s">
        <v>107</v>
      </c>
      <c r="D205" s="215">
        <v>1845</v>
      </c>
      <c r="E205" s="548">
        <v>27.747654</v>
      </c>
    </row>
    <row r="206" spans="1:5" ht="13.5" thickBot="1">
      <c r="A206" s="860"/>
      <c r="B206" s="220" t="s">
        <v>591</v>
      </c>
      <c r="C206" s="221">
        <v>2105</v>
      </c>
      <c r="D206" s="221">
        <v>15024</v>
      </c>
      <c r="E206" s="555">
        <v>31.942565</v>
      </c>
    </row>
    <row r="207" spans="1:5" ht="12.75" customHeight="1">
      <c r="A207" s="858" t="s">
        <v>614</v>
      </c>
      <c r="B207" s="211" t="s">
        <v>583</v>
      </c>
      <c r="C207" s="223">
        <v>4800</v>
      </c>
      <c r="D207" s="223">
        <v>29517</v>
      </c>
      <c r="E207" s="553">
        <v>34.813894</v>
      </c>
    </row>
    <row r="208" spans="1:5" ht="12.75">
      <c r="A208" s="859"/>
      <c r="B208" s="214" t="s">
        <v>584</v>
      </c>
      <c r="C208" s="215">
        <v>1217</v>
      </c>
      <c r="D208" s="215">
        <v>13278</v>
      </c>
      <c r="E208" s="548">
        <v>24.926894</v>
      </c>
    </row>
    <row r="209" spans="1:5" ht="12.75" customHeight="1">
      <c r="A209" s="859"/>
      <c r="B209" s="217" t="s">
        <v>585</v>
      </c>
      <c r="C209" s="212">
        <v>422</v>
      </c>
      <c r="D209" s="212">
        <v>10361</v>
      </c>
      <c r="E209" s="554">
        <v>56.484163</v>
      </c>
    </row>
    <row r="210" spans="1:5" ht="12.75">
      <c r="A210" s="859"/>
      <c r="B210" s="214" t="s">
        <v>586</v>
      </c>
      <c r="C210" s="215">
        <v>5595</v>
      </c>
      <c r="D210" s="215">
        <v>32434</v>
      </c>
      <c r="E210" s="548">
        <v>23.860527</v>
      </c>
    </row>
    <row r="211" spans="1:5" ht="12.75" customHeight="1">
      <c r="A211" s="859"/>
      <c r="B211" s="218" t="s">
        <v>587</v>
      </c>
      <c r="C211" s="226" t="s">
        <v>107</v>
      </c>
      <c r="D211" s="226">
        <v>38168</v>
      </c>
      <c r="E211" s="554">
        <v>32.114753</v>
      </c>
    </row>
    <row r="212" spans="1:5" ht="12.75">
      <c r="A212" s="859"/>
      <c r="B212" s="219" t="s">
        <v>588</v>
      </c>
      <c r="C212" s="215" t="s">
        <v>107</v>
      </c>
      <c r="D212" s="215">
        <v>4627</v>
      </c>
      <c r="E212" s="548">
        <v>30.549648</v>
      </c>
    </row>
    <row r="213" spans="1:5" ht="13.5" thickBot="1">
      <c r="A213" s="860"/>
      <c r="B213" s="220" t="s">
        <v>591</v>
      </c>
      <c r="C213" s="221">
        <v>6017</v>
      </c>
      <c r="D213" s="221">
        <v>42795</v>
      </c>
      <c r="E213" s="555">
        <v>31.957975</v>
      </c>
    </row>
    <row r="214" spans="1:5" ht="12.75" customHeight="1">
      <c r="A214" s="858" t="s">
        <v>670</v>
      </c>
      <c r="B214" s="211" t="s">
        <v>583</v>
      </c>
      <c r="C214" s="223">
        <v>10603</v>
      </c>
      <c r="D214" s="223">
        <v>82999</v>
      </c>
      <c r="E214" s="553">
        <v>35.246499</v>
      </c>
    </row>
    <row r="215" spans="1:5" ht="12.75">
      <c r="A215" s="859"/>
      <c r="B215" s="214" t="s">
        <v>584</v>
      </c>
      <c r="C215" s="215">
        <v>2589</v>
      </c>
      <c r="D215" s="215">
        <v>25914</v>
      </c>
      <c r="E215" s="548">
        <v>25.61638</v>
      </c>
    </row>
    <row r="216" spans="1:5" ht="12.75" customHeight="1">
      <c r="A216" s="859"/>
      <c r="B216" s="217" t="s">
        <v>585</v>
      </c>
      <c r="C216" s="212">
        <v>456</v>
      </c>
      <c r="D216" s="212">
        <v>12676</v>
      </c>
      <c r="E216" s="554">
        <v>63.60862</v>
      </c>
    </row>
    <row r="217" spans="1:5" ht="12.75">
      <c r="A217" s="859"/>
      <c r="B217" s="214" t="s">
        <v>586</v>
      </c>
      <c r="C217" s="215">
        <v>12736</v>
      </c>
      <c r="D217" s="215">
        <v>96237</v>
      </c>
      <c r="E217" s="548">
        <v>29.169765</v>
      </c>
    </row>
    <row r="218" spans="1:5" ht="12.75" customHeight="1">
      <c r="A218" s="859"/>
      <c r="B218" s="218" t="s">
        <v>587</v>
      </c>
      <c r="C218" s="226" t="s">
        <v>107</v>
      </c>
      <c r="D218" s="226">
        <v>87054</v>
      </c>
      <c r="E218" s="554">
        <v>34.680862</v>
      </c>
    </row>
    <row r="219" spans="1:5" ht="12.75">
      <c r="A219" s="859"/>
      <c r="B219" s="219" t="s">
        <v>588</v>
      </c>
      <c r="C219" s="215" t="s">
        <v>107</v>
      </c>
      <c r="D219" s="215">
        <v>21859</v>
      </c>
      <c r="E219" s="548">
        <v>26.821616</v>
      </c>
    </row>
    <row r="220" spans="1:5" ht="13.5" thickBot="1">
      <c r="A220" s="860"/>
      <c r="B220" s="220" t="s">
        <v>591</v>
      </c>
      <c r="C220" s="221">
        <v>13192</v>
      </c>
      <c r="D220" s="221">
        <v>108913</v>
      </c>
      <c r="E220" s="555">
        <v>33.14143</v>
      </c>
    </row>
    <row r="221" spans="1:5" ht="12.75" customHeight="1">
      <c r="A221" s="858" t="s">
        <v>615</v>
      </c>
      <c r="B221" s="211" t="s">
        <v>583</v>
      </c>
      <c r="C221" s="223">
        <v>13134</v>
      </c>
      <c r="D221" s="223">
        <v>94263</v>
      </c>
      <c r="E221" s="553">
        <v>25.116486</v>
      </c>
    </row>
    <row r="222" spans="1:5" ht="12.75">
      <c r="A222" s="859"/>
      <c r="B222" s="214" t="s">
        <v>584</v>
      </c>
      <c r="C222" s="215">
        <v>2069</v>
      </c>
      <c r="D222" s="215">
        <v>24335</v>
      </c>
      <c r="E222" s="548">
        <v>22.713215</v>
      </c>
    </row>
    <row r="223" spans="1:5" ht="12.75" customHeight="1">
      <c r="A223" s="859"/>
      <c r="B223" s="217" t="s">
        <v>585</v>
      </c>
      <c r="C223" s="212">
        <v>393</v>
      </c>
      <c r="D223" s="212">
        <v>7610</v>
      </c>
      <c r="E223" s="554">
        <v>54.947547</v>
      </c>
    </row>
    <row r="224" spans="1:5" ht="12.75">
      <c r="A224" s="859"/>
      <c r="B224" s="214" t="s">
        <v>586</v>
      </c>
      <c r="C224" s="215">
        <v>14810</v>
      </c>
      <c r="D224" s="215">
        <v>110988</v>
      </c>
      <c r="E224" s="548">
        <v>22.935615</v>
      </c>
    </row>
    <row r="225" spans="1:5" ht="12.75" customHeight="1">
      <c r="A225" s="859"/>
      <c r="B225" s="218" t="s">
        <v>587</v>
      </c>
      <c r="C225" s="226" t="s">
        <v>107</v>
      </c>
      <c r="D225" s="226">
        <v>103867</v>
      </c>
      <c r="E225" s="554">
        <v>24.345931</v>
      </c>
    </row>
    <row r="226" spans="1:5" ht="12.75">
      <c r="A226" s="859"/>
      <c r="B226" s="219" t="s">
        <v>588</v>
      </c>
      <c r="C226" s="215" t="s">
        <v>107</v>
      </c>
      <c r="D226" s="215">
        <v>14731</v>
      </c>
      <c r="E226" s="548">
        <v>27.057287</v>
      </c>
    </row>
    <row r="227" spans="1:5" ht="13.5" thickBot="1">
      <c r="A227" s="860"/>
      <c r="B227" s="220" t="s">
        <v>591</v>
      </c>
      <c r="C227" s="221">
        <v>15203</v>
      </c>
      <c r="D227" s="221">
        <v>118598</v>
      </c>
      <c r="E227" s="555">
        <v>24.662742</v>
      </c>
    </row>
    <row r="228" spans="1:5" ht="12.75">
      <c r="A228" s="190"/>
      <c r="B228" s="192"/>
      <c r="C228" s="243"/>
      <c r="D228" s="243"/>
      <c r="E228" s="559"/>
    </row>
    <row r="229" spans="1:5" ht="12.75">
      <c r="A229" s="190"/>
      <c r="B229" s="192"/>
      <c r="C229" s="243"/>
      <c r="D229" s="243"/>
      <c r="E229" s="559"/>
    </row>
    <row r="230" spans="1:5" ht="12.75">
      <c r="A230" s="190"/>
      <c r="B230" s="192"/>
      <c r="C230" s="243"/>
      <c r="D230" s="243"/>
      <c r="E230" s="559"/>
    </row>
    <row r="231" spans="1:5" ht="12.75">
      <c r="A231" s="190"/>
      <c r="B231" s="192"/>
      <c r="C231" s="243"/>
      <c r="D231" s="243"/>
      <c r="E231" s="559"/>
    </row>
    <row r="232" spans="1:5" ht="12.75">
      <c r="A232" s="190"/>
      <c r="B232" s="192"/>
      <c r="C232" s="243"/>
      <c r="D232" s="243"/>
      <c r="E232" s="559"/>
    </row>
    <row r="233" spans="1:5" ht="13.5" thickBot="1">
      <c r="A233" s="190"/>
      <c r="B233" s="191"/>
      <c r="C233" s="191"/>
      <c r="D233" s="192"/>
      <c r="E233" s="193"/>
    </row>
    <row r="234" spans="1:5" ht="12.75" customHeight="1">
      <c r="A234" s="861" t="s">
        <v>496</v>
      </c>
      <c r="B234" s="199"/>
      <c r="C234" s="201"/>
      <c r="D234" s="201" t="s">
        <v>501</v>
      </c>
      <c r="E234" s="550" t="s">
        <v>502</v>
      </c>
    </row>
    <row r="235" spans="1:5" ht="12.75">
      <c r="A235" s="862"/>
      <c r="B235" s="202" t="s">
        <v>578</v>
      </c>
      <c r="C235" s="204" t="s">
        <v>504</v>
      </c>
      <c r="D235" s="204" t="s">
        <v>505</v>
      </c>
      <c r="E235" s="551" t="s">
        <v>506</v>
      </c>
    </row>
    <row r="236" spans="1:5" ht="12.75" customHeight="1">
      <c r="A236" s="862"/>
      <c r="B236" s="205" t="s">
        <v>579</v>
      </c>
      <c r="C236" s="207" t="s">
        <v>508</v>
      </c>
      <c r="D236" s="207" t="s">
        <v>509</v>
      </c>
      <c r="E236" s="551" t="s">
        <v>580</v>
      </c>
    </row>
    <row r="237" spans="1:5" ht="13.5" thickBot="1">
      <c r="A237" s="863"/>
      <c r="B237" s="208"/>
      <c r="C237" s="210" t="s">
        <v>510</v>
      </c>
      <c r="D237" s="210" t="s">
        <v>511</v>
      </c>
      <c r="E237" s="557" t="s">
        <v>581</v>
      </c>
    </row>
    <row r="238" spans="1:5" ht="12.75" customHeight="1">
      <c r="A238" s="858" t="s">
        <v>616</v>
      </c>
      <c r="B238" s="211" t="s">
        <v>583</v>
      </c>
      <c r="C238" s="223">
        <v>3908</v>
      </c>
      <c r="D238" s="223">
        <v>20239</v>
      </c>
      <c r="E238" s="553">
        <v>26.914844</v>
      </c>
    </row>
    <row r="239" spans="1:5" ht="12.75">
      <c r="A239" s="859"/>
      <c r="B239" s="214" t="s">
        <v>584</v>
      </c>
      <c r="C239" s="215">
        <v>1241</v>
      </c>
      <c r="D239" s="215">
        <v>8072</v>
      </c>
      <c r="E239" s="548">
        <v>24.921868</v>
      </c>
    </row>
    <row r="240" spans="1:5" ht="12.75" customHeight="1">
      <c r="A240" s="859"/>
      <c r="B240" s="217" t="s">
        <v>585</v>
      </c>
      <c r="C240" s="212">
        <v>322</v>
      </c>
      <c r="D240" s="212">
        <v>3507</v>
      </c>
      <c r="E240" s="554">
        <v>54.447062</v>
      </c>
    </row>
    <row r="241" spans="1:5" ht="12.75">
      <c r="A241" s="859"/>
      <c r="B241" s="214" t="s">
        <v>586</v>
      </c>
      <c r="C241" s="215">
        <v>4827</v>
      </c>
      <c r="D241" s="215">
        <v>24804</v>
      </c>
      <c r="E241" s="548">
        <v>22.521469</v>
      </c>
    </row>
    <row r="242" spans="1:5" ht="12.75" customHeight="1">
      <c r="A242" s="859"/>
      <c r="B242" s="218" t="s">
        <v>587</v>
      </c>
      <c r="C242" s="226" t="s">
        <v>107</v>
      </c>
      <c r="D242" s="226">
        <v>21980</v>
      </c>
      <c r="E242" s="554">
        <v>27.04111</v>
      </c>
    </row>
    <row r="243" spans="1:5" ht="12.75">
      <c r="A243" s="859"/>
      <c r="B243" s="219" t="s">
        <v>588</v>
      </c>
      <c r="C243" s="215" t="s">
        <v>107</v>
      </c>
      <c r="D243" s="215">
        <v>6331</v>
      </c>
      <c r="E243" s="548">
        <v>24.158046</v>
      </c>
    </row>
    <row r="244" spans="1:5" ht="13.5" thickBot="1">
      <c r="A244" s="860"/>
      <c r="B244" s="220" t="s">
        <v>591</v>
      </c>
      <c r="C244" s="221">
        <v>5149</v>
      </c>
      <c r="D244" s="221">
        <v>28311</v>
      </c>
      <c r="E244" s="555">
        <v>26.430567</v>
      </c>
    </row>
    <row r="245" spans="1:5" ht="12.75" customHeight="1">
      <c r="A245" s="870" t="s">
        <v>617</v>
      </c>
      <c r="B245" s="211" t="s">
        <v>583</v>
      </c>
      <c r="C245" s="223">
        <v>802</v>
      </c>
      <c r="D245" s="223">
        <v>3890</v>
      </c>
      <c r="E245" s="553">
        <v>32.408884</v>
      </c>
    </row>
    <row r="246" spans="1:5" ht="12.75">
      <c r="A246" s="859"/>
      <c r="B246" s="214" t="s">
        <v>584</v>
      </c>
      <c r="C246" s="215">
        <v>458</v>
      </c>
      <c r="D246" s="215">
        <v>3732</v>
      </c>
      <c r="E246" s="548">
        <v>23.362496</v>
      </c>
    </row>
    <row r="247" spans="1:5" ht="12.75" customHeight="1">
      <c r="A247" s="859"/>
      <c r="B247" s="217" t="s">
        <v>585</v>
      </c>
      <c r="C247" s="212">
        <v>99</v>
      </c>
      <c r="D247" s="212">
        <v>1415</v>
      </c>
      <c r="E247" s="554">
        <v>54.204397</v>
      </c>
    </row>
    <row r="248" spans="1:5" ht="12.75">
      <c r="A248" s="859"/>
      <c r="B248" s="214" t="s">
        <v>586</v>
      </c>
      <c r="C248" s="215">
        <v>1161</v>
      </c>
      <c r="D248" s="215">
        <v>6207</v>
      </c>
      <c r="E248" s="548">
        <v>21.861391</v>
      </c>
    </row>
    <row r="249" spans="1:5" ht="12.75" customHeight="1">
      <c r="A249" s="859"/>
      <c r="B249" s="218" t="s">
        <v>587</v>
      </c>
      <c r="C249" s="226" t="s">
        <v>107</v>
      </c>
      <c r="D249" s="226">
        <v>6827</v>
      </c>
      <c r="E249" s="554">
        <v>28.509654</v>
      </c>
    </row>
    <row r="250" spans="1:5" ht="12.75">
      <c r="A250" s="859"/>
      <c r="B250" s="219" t="s">
        <v>588</v>
      </c>
      <c r="C250" s="215" t="s">
        <v>107</v>
      </c>
      <c r="D250" s="215">
        <v>795</v>
      </c>
      <c r="E250" s="548">
        <v>25.868543</v>
      </c>
    </row>
    <row r="251" spans="1:5" ht="13.5" thickBot="1">
      <c r="A251" s="860"/>
      <c r="B251" s="222" t="s">
        <v>591</v>
      </c>
      <c r="C251" s="221">
        <v>1260</v>
      </c>
      <c r="D251" s="221">
        <v>7622</v>
      </c>
      <c r="E251" s="555">
        <v>28.25003</v>
      </c>
    </row>
    <row r="252" spans="1:5" ht="12.75" customHeight="1">
      <c r="A252" s="858" t="s">
        <v>618</v>
      </c>
      <c r="B252" s="211" t="s">
        <v>583</v>
      </c>
      <c r="C252" s="223">
        <v>299</v>
      </c>
      <c r="D252" s="223">
        <v>2399</v>
      </c>
      <c r="E252" s="553">
        <v>44.987708</v>
      </c>
    </row>
    <row r="253" spans="1:5" ht="12.75">
      <c r="A253" s="859"/>
      <c r="B253" s="214" t="s">
        <v>584</v>
      </c>
      <c r="C253" s="215">
        <v>331</v>
      </c>
      <c r="D253" s="215">
        <v>3529</v>
      </c>
      <c r="E253" s="548">
        <v>30.064515</v>
      </c>
    </row>
    <row r="254" spans="1:5" ht="12.75" customHeight="1">
      <c r="A254" s="859"/>
      <c r="B254" s="217" t="s">
        <v>585</v>
      </c>
      <c r="C254" s="212">
        <v>72</v>
      </c>
      <c r="D254" s="212">
        <v>2595</v>
      </c>
      <c r="E254" s="554">
        <v>55.960336</v>
      </c>
    </row>
    <row r="255" spans="1:5" ht="12.75">
      <c r="A255" s="859"/>
      <c r="B255" s="214" t="s">
        <v>586</v>
      </c>
      <c r="C255" s="215">
        <v>558</v>
      </c>
      <c r="D255" s="215">
        <v>3333</v>
      </c>
      <c r="E255" s="548">
        <v>23.55486</v>
      </c>
    </row>
    <row r="256" spans="1:5" ht="12.75" customHeight="1">
      <c r="A256" s="859"/>
      <c r="B256" s="218" t="s">
        <v>587</v>
      </c>
      <c r="C256" s="226" t="s">
        <v>107</v>
      </c>
      <c r="D256" s="226">
        <v>5099</v>
      </c>
      <c r="E256" s="554">
        <v>37.398569</v>
      </c>
    </row>
    <row r="257" spans="1:5" ht="12.75">
      <c r="A257" s="859"/>
      <c r="B257" s="219" t="s">
        <v>588</v>
      </c>
      <c r="C257" s="215" t="s">
        <v>107</v>
      </c>
      <c r="D257" s="215">
        <v>829</v>
      </c>
      <c r="E257" s="548">
        <v>34.805271</v>
      </c>
    </row>
    <row r="258" spans="1:5" ht="13.5" thickBot="1">
      <c r="A258" s="860"/>
      <c r="B258" s="220" t="s">
        <v>591</v>
      </c>
      <c r="C258" s="221">
        <v>630</v>
      </c>
      <c r="D258" s="221">
        <v>5928</v>
      </c>
      <c r="E258" s="555">
        <v>37.096332</v>
      </c>
    </row>
    <row r="259" spans="1:5" ht="12.75" customHeight="1">
      <c r="A259" s="858" t="s">
        <v>619</v>
      </c>
      <c r="B259" s="211" t="s">
        <v>583</v>
      </c>
      <c r="C259" s="223">
        <v>9769</v>
      </c>
      <c r="D259" s="223">
        <v>58527</v>
      </c>
      <c r="E259" s="553">
        <v>34.496138753225004</v>
      </c>
    </row>
    <row r="260" spans="1:5" ht="12.75">
      <c r="A260" s="859"/>
      <c r="B260" s="214" t="s">
        <v>584</v>
      </c>
      <c r="C260" s="215">
        <v>2021</v>
      </c>
      <c r="D260" s="215">
        <v>24199</v>
      </c>
      <c r="E260" s="548">
        <v>22.520579482705894</v>
      </c>
    </row>
    <row r="261" spans="1:5" ht="12.75" customHeight="1">
      <c r="A261" s="859"/>
      <c r="B261" s="217" t="s">
        <v>585</v>
      </c>
      <c r="C261" s="212">
        <v>366</v>
      </c>
      <c r="D261" s="212">
        <v>9157</v>
      </c>
      <c r="E261" s="554">
        <v>51.43823893818937</v>
      </c>
    </row>
    <row r="262" spans="1:5" ht="12.75">
      <c r="A262" s="859"/>
      <c r="B262" s="214" t="s">
        <v>586</v>
      </c>
      <c r="C262" s="215">
        <v>11424</v>
      </c>
      <c r="D262" s="215">
        <v>73569</v>
      </c>
      <c r="E262" s="548">
        <v>28.8690231305713</v>
      </c>
    </row>
    <row r="263" spans="1:5" ht="12.75" customHeight="1">
      <c r="A263" s="859"/>
      <c r="B263" s="218" t="s">
        <v>587</v>
      </c>
      <c r="C263" s="226"/>
      <c r="D263" s="226">
        <v>72067</v>
      </c>
      <c r="E263" s="554">
        <v>31.906008409674328</v>
      </c>
    </row>
    <row r="264" spans="1:5" ht="12.75">
      <c r="A264" s="859"/>
      <c r="B264" s="219" t="s">
        <v>588</v>
      </c>
      <c r="C264" s="215"/>
      <c r="D264" s="215">
        <v>10659</v>
      </c>
      <c r="E264" s="548">
        <v>27.144131877099166</v>
      </c>
    </row>
    <row r="265" spans="1:5" ht="13.5" thickBot="1">
      <c r="A265" s="860"/>
      <c r="B265" s="220" t="s">
        <v>591</v>
      </c>
      <c r="C265" s="221">
        <v>11790</v>
      </c>
      <c r="D265" s="221">
        <v>82726</v>
      </c>
      <c r="E265" s="555">
        <v>31.30478466124314</v>
      </c>
    </row>
    <row r="266" spans="1:5" ht="12.75" customHeight="1">
      <c r="A266" s="858" t="s">
        <v>620</v>
      </c>
      <c r="B266" s="211" t="s">
        <v>583</v>
      </c>
      <c r="C266" s="223">
        <v>4001</v>
      </c>
      <c r="D266" s="223">
        <v>22480</v>
      </c>
      <c r="E266" s="553">
        <v>28.721207</v>
      </c>
    </row>
    <row r="267" spans="1:5" ht="12.75">
      <c r="A267" s="859"/>
      <c r="B267" s="214" t="s">
        <v>584</v>
      </c>
      <c r="C267" s="215">
        <v>1309</v>
      </c>
      <c r="D267" s="215">
        <v>9502</v>
      </c>
      <c r="E267" s="548">
        <v>22.028679</v>
      </c>
    </row>
    <row r="268" spans="1:5" ht="12.75" customHeight="1">
      <c r="A268" s="859"/>
      <c r="B268" s="217" t="s">
        <v>585</v>
      </c>
      <c r="C268" s="212">
        <v>244</v>
      </c>
      <c r="D268" s="212">
        <v>4954</v>
      </c>
      <c r="E268" s="554">
        <v>44.349823</v>
      </c>
    </row>
    <row r="269" spans="1:5" ht="12.75">
      <c r="A269" s="859"/>
      <c r="B269" s="214" t="s">
        <v>586</v>
      </c>
      <c r="C269" s="215">
        <v>5066</v>
      </c>
      <c r="D269" s="215">
        <v>27028</v>
      </c>
      <c r="E269" s="548">
        <v>23.533962</v>
      </c>
    </row>
    <row r="270" spans="1:5" ht="12.75" customHeight="1">
      <c r="A270" s="859"/>
      <c r="B270" s="218" t="s">
        <v>587</v>
      </c>
      <c r="C270" s="226" t="s">
        <v>107</v>
      </c>
      <c r="D270" s="226">
        <v>25996</v>
      </c>
      <c r="E270" s="554">
        <v>27.402205</v>
      </c>
    </row>
    <row r="271" spans="1:5" ht="12.75">
      <c r="A271" s="859"/>
      <c r="B271" s="219" t="s">
        <v>588</v>
      </c>
      <c r="C271" s="215" t="s">
        <v>107</v>
      </c>
      <c r="D271" s="215">
        <v>5986</v>
      </c>
      <c r="E271" s="548">
        <v>24.46941</v>
      </c>
    </row>
    <row r="272" spans="1:5" ht="13.5" thickBot="1">
      <c r="A272" s="860"/>
      <c r="B272" s="220" t="s">
        <v>591</v>
      </c>
      <c r="C272" s="221">
        <v>5310</v>
      </c>
      <c r="D272" s="221">
        <v>31982</v>
      </c>
      <c r="E272" s="555">
        <v>26.88607</v>
      </c>
    </row>
    <row r="273" spans="1:5" ht="12.75" customHeight="1">
      <c r="A273" s="858" t="s">
        <v>621</v>
      </c>
      <c r="B273" s="211" t="s">
        <v>583</v>
      </c>
      <c r="C273" s="223">
        <v>16909</v>
      </c>
      <c r="D273" s="223">
        <v>95178</v>
      </c>
      <c r="E273" s="553">
        <v>30.577123718233207</v>
      </c>
    </row>
    <row r="274" spans="1:5" ht="12.75">
      <c r="A274" s="859"/>
      <c r="B274" s="214" t="s">
        <v>584</v>
      </c>
      <c r="C274" s="215">
        <v>2850</v>
      </c>
      <c r="D274" s="215">
        <v>27253</v>
      </c>
      <c r="E274" s="548">
        <v>22.334413704179358</v>
      </c>
    </row>
    <row r="275" spans="1:5" ht="12.75" customHeight="1">
      <c r="A275" s="859"/>
      <c r="B275" s="217" t="s">
        <v>585</v>
      </c>
      <c r="C275" s="212">
        <v>544</v>
      </c>
      <c r="D275" s="212">
        <v>14223</v>
      </c>
      <c r="E275" s="554">
        <v>49.19286699746889</v>
      </c>
    </row>
    <row r="276" spans="1:5" ht="12.75">
      <c r="A276" s="859"/>
      <c r="B276" s="214" t="s">
        <v>586</v>
      </c>
      <c r="C276" s="215">
        <v>19215</v>
      </c>
      <c r="D276" s="215">
        <v>108208</v>
      </c>
      <c r="E276" s="548">
        <v>26.350104847478928</v>
      </c>
    </row>
    <row r="277" spans="1:5" ht="12.75" customHeight="1">
      <c r="A277" s="859"/>
      <c r="B277" s="218" t="s">
        <v>587</v>
      </c>
      <c r="C277" s="226"/>
      <c r="D277" s="226">
        <v>99052</v>
      </c>
      <c r="E277" s="554">
        <v>29.51342539214756</v>
      </c>
    </row>
    <row r="278" spans="1:5" ht="12.75">
      <c r="A278" s="859"/>
      <c r="B278" s="219" t="s">
        <v>588</v>
      </c>
      <c r="C278" s="215"/>
      <c r="D278" s="215">
        <v>23379</v>
      </c>
      <c r="E278" s="548">
        <v>26.272531703665678</v>
      </c>
    </row>
    <row r="279" spans="1:5" ht="13.5" thickBot="1">
      <c r="A279" s="860"/>
      <c r="B279" s="220" t="s">
        <v>591</v>
      </c>
      <c r="C279" s="221">
        <v>19759</v>
      </c>
      <c r="D279" s="221">
        <v>122431</v>
      </c>
      <c r="E279" s="555">
        <v>28.913163664145518</v>
      </c>
    </row>
    <row r="280" spans="1:5" ht="12.75" customHeight="1">
      <c r="A280" s="858" t="s">
        <v>622</v>
      </c>
      <c r="B280" s="211" t="s">
        <v>583</v>
      </c>
      <c r="C280" s="223">
        <v>296876</v>
      </c>
      <c r="D280" s="223">
        <v>2225102</v>
      </c>
      <c r="E280" s="553">
        <v>35.207360629208004</v>
      </c>
    </row>
    <row r="281" spans="1:5" ht="12.75">
      <c r="A281" s="859"/>
      <c r="B281" s="214" t="s">
        <v>584</v>
      </c>
      <c r="C281" s="215">
        <v>23136</v>
      </c>
      <c r="D281" s="215">
        <v>306994</v>
      </c>
      <c r="E281" s="548">
        <v>25.60186920042933</v>
      </c>
    </row>
    <row r="282" spans="1:5" ht="12.75" customHeight="1">
      <c r="A282" s="859"/>
      <c r="B282" s="217" t="s">
        <v>585</v>
      </c>
      <c r="C282" s="212">
        <v>2887</v>
      </c>
      <c r="D282" s="212">
        <v>80028</v>
      </c>
      <c r="E282" s="554">
        <v>67.71040598734194</v>
      </c>
    </row>
    <row r="283" spans="1:5" ht="12.75">
      <c r="A283" s="859"/>
      <c r="B283" s="214" t="s">
        <v>586</v>
      </c>
      <c r="C283" s="215">
        <v>317125</v>
      </c>
      <c r="D283" s="215">
        <v>2452068</v>
      </c>
      <c r="E283" s="548">
        <v>33.15970155706924</v>
      </c>
    </row>
    <row r="284" spans="1:5" ht="12.75" customHeight="1">
      <c r="A284" s="859"/>
      <c r="B284" s="218" t="s">
        <v>587</v>
      </c>
      <c r="C284" s="226"/>
      <c r="D284" s="226">
        <v>1881893</v>
      </c>
      <c r="E284" s="554">
        <v>33.228841584725465</v>
      </c>
    </row>
    <row r="285" spans="1:5" ht="12.75">
      <c r="A285" s="859"/>
      <c r="B285" s="219" t="s">
        <v>588</v>
      </c>
      <c r="C285" s="215"/>
      <c r="D285" s="215">
        <v>650203</v>
      </c>
      <c r="E285" s="548">
        <v>36.86097610937046</v>
      </c>
    </row>
    <row r="286" spans="1:5" ht="13.5" thickBot="1">
      <c r="A286" s="860"/>
      <c r="B286" s="220" t="s">
        <v>591</v>
      </c>
      <c r="C286" s="221">
        <f>+C282+C283</f>
        <v>320012</v>
      </c>
      <c r="D286" s="221">
        <f>+D280+D281</f>
        <v>2532096</v>
      </c>
      <c r="E286" s="555">
        <v>34.15937165058709</v>
      </c>
    </row>
    <row r="287" spans="1:5" ht="12.75">
      <c r="A287" s="194"/>
      <c r="B287" s="195"/>
      <c r="C287" s="538"/>
      <c r="D287" s="198" t="s">
        <v>107</v>
      </c>
      <c r="E287" s="556"/>
    </row>
    <row r="288" spans="1:5" ht="12.75">
      <c r="A288" s="190"/>
      <c r="B288" s="191"/>
      <c r="C288" s="533"/>
      <c r="D288" s="533"/>
      <c r="E288" s="193"/>
    </row>
    <row r="289" spans="1:5" ht="12.75">
      <c r="A289" s="190"/>
      <c r="B289" s="191"/>
      <c r="C289" s="537"/>
      <c r="D289" s="525"/>
      <c r="E289" s="560"/>
    </row>
    <row r="290" spans="1:5" ht="12.75">
      <c r="A290" s="190"/>
      <c r="B290" s="191"/>
      <c r="C290" s="525"/>
      <c r="D290" s="525"/>
      <c r="E290" s="193"/>
    </row>
    <row r="291" spans="1:5" ht="12.75">
      <c r="A291" s="190"/>
      <c r="B291" s="191"/>
      <c r="C291" s="191"/>
      <c r="D291" s="192"/>
      <c r="E291" s="193"/>
    </row>
    <row r="292" spans="1:5" ht="12.75">
      <c r="A292" s="190"/>
      <c r="B292" s="191"/>
      <c r="C292" s="191"/>
      <c r="D292" s="192"/>
      <c r="E292" s="193"/>
    </row>
    <row r="293" spans="1:5" ht="13.5" thickBot="1">
      <c r="A293" s="190"/>
      <c r="B293" s="191"/>
      <c r="C293" s="191"/>
      <c r="D293" s="192"/>
      <c r="E293" s="193"/>
    </row>
    <row r="294" spans="1:5" ht="12.75" customHeight="1">
      <c r="A294" s="867" t="s">
        <v>496</v>
      </c>
      <c r="B294" s="199"/>
      <c r="C294" s="201"/>
      <c r="D294" s="201" t="s">
        <v>501</v>
      </c>
      <c r="E294" s="550" t="s">
        <v>502</v>
      </c>
    </row>
    <row r="295" spans="1:5" ht="12.75">
      <c r="A295" s="868"/>
      <c r="B295" s="202" t="s">
        <v>578</v>
      </c>
      <c r="C295" s="204" t="s">
        <v>504</v>
      </c>
      <c r="D295" s="204" t="s">
        <v>505</v>
      </c>
      <c r="E295" s="551" t="s">
        <v>506</v>
      </c>
    </row>
    <row r="296" spans="1:5" ht="12.75" customHeight="1">
      <c r="A296" s="868"/>
      <c r="B296" s="205" t="s">
        <v>579</v>
      </c>
      <c r="C296" s="207" t="s">
        <v>508</v>
      </c>
      <c r="D296" s="207" t="s">
        <v>509</v>
      </c>
      <c r="E296" s="551" t="s">
        <v>580</v>
      </c>
    </row>
    <row r="297" spans="1:5" ht="13.5" thickBot="1">
      <c r="A297" s="869"/>
      <c r="B297" s="208"/>
      <c r="C297" s="210" t="s">
        <v>510</v>
      </c>
      <c r="D297" s="210" t="s">
        <v>511</v>
      </c>
      <c r="E297" s="557" t="s">
        <v>581</v>
      </c>
    </row>
    <row r="298" spans="1:5" ht="12.75" customHeight="1">
      <c r="A298" s="858" t="s">
        <v>623</v>
      </c>
      <c r="B298" s="211" t="s">
        <v>583</v>
      </c>
      <c r="C298" s="223">
        <v>75021</v>
      </c>
      <c r="D298" s="223">
        <v>497104</v>
      </c>
      <c r="E298" s="553">
        <v>33.101953</v>
      </c>
    </row>
    <row r="299" spans="1:5" ht="12.75">
      <c r="A299" s="859"/>
      <c r="B299" s="214" t="s">
        <v>584</v>
      </c>
      <c r="C299" s="215">
        <v>7823</v>
      </c>
      <c r="D299" s="215">
        <v>91876</v>
      </c>
      <c r="E299" s="548">
        <v>26.010646</v>
      </c>
    </row>
    <row r="300" spans="1:5" ht="12.75" customHeight="1">
      <c r="A300" s="859"/>
      <c r="B300" s="217" t="s">
        <v>585</v>
      </c>
      <c r="C300" s="212">
        <v>1237</v>
      </c>
      <c r="D300" s="212">
        <v>29597</v>
      </c>
      <c r="E300" s="554">
        <v>68.399322</v>
      </c>
    </row>
    <row r="301" spans="1:5" ht="12.75">
      <c r="A301" s="859"/>
      <c r="B301" s="214" t="s">
        <v>586</v>
      </c>
      <c r="C301" s="215">
        <v>81607</v>
      </c>
      <c r="D301" s="215">
        <v>559383</v>
      </c>
      <c r="E301" s="548">
        <v>30.192973</v>
      </c>
    </row>
    <row r="302" spans="1:5" ht="12.75" customHeight="1">
      <c r="A302" s="859"/>
      <c r="B302" s="218" t="s">
        <v>587</v>
      </c>
      <c r="C302" s="226" t="s">
        <v>107</v>
      </c>
      <c r="D302" s="226">
        <v>431271</v>
      </c>
      <c r="E302" s="554">
        <v>33.037266</v>
      </c>
    </row>
    <row r="303" spans="1:5" ht="12.75">
      <c r="A303" s="859"/>
      <c r="B303" s="219" t="s">
        <v>588</v>
      </c>
      <c r="C303" s="215" t="s">
        <v>107</v>
      </c>
      <c r="D303" s="215">
        <v>157709</v>
      </c>
      <c r="E303" s="548">
        <v>29.558144</v>
      </c>
    </row>
    <row r="304" spans="1:5" ht="13.5" thickBot="1">
      <c r="A304" s="860"/>
      <c r="B304" s="222" t="s">
        <v>591</v>
      </c>
      <c r="C304" s="221">
        <v>82844</v>
      </c>
      <c r="D304" s="221">
        <v>588980</v>
      </c>
      <c r="E304" s="555">
        <v>32.118064</v>
      </c>
    </row>
    <row r="305" spans="1:5" ht="12.75" customHeight="1">
      <c r="A305" s="858" t="s">
        <v>624</v>
      </c>
      <c r="B305" s="211" t="s">
        <v>583</v>
      </c>
      <c r="C305" s="223">
        <v>1052</v>
      </c>
      <c r="D305" s="223">
        <v>5822</v>
      </c>
      <c r="E305" s="553">
        <v>35.780827</v>
      </c>
    </row>
    <row r="306" spans="1:5" ht="12.75">
      <c r="A306" s="859"/>
      <c r="B306" s="214" t="s">
        <v>584</v>
      </c>
      <c r="C306" s="215">
        <v>538</v>
      </c>
      <c r="D306" s="215">
        <v>3568</v>
      </c>
      <c r="E306" s="548">
        <v>23.464576</v>
      </c>
    </row>
    <row r="307" spans="1:5" ht="12.75" customHeight="1">
      <c r="A307" s="859"/>
      <c r="B307" s="217" t="s">
        <v>585</v>
      </c>
      <c r="C307" s="212">
        <v>171</v>
      </c>
      <c r="D307" s="212">
        <v>2880</v>
      </c>
      <c r="E307" s="554">
        <v>49.676627</v>
      </c>
    </row>
    <row r="308" spans="1:5" ht="12.75">
      <c r="A308" s="859"/>
      <c r="B308" s="214" t="s">
        <v>586</v>
      </c>
      <c r="C308" s="215">
        <v>1419</v>
      </c>
      <c r="D308" s="215">
        <v>6510</v>
      </c>
      <c r="E308" s="548">
        <v>23.452418</v>
      </c>
    </row>
    <row r="309" spans="1:5" ht="12.75" customHeight="1">
      <c r="A309" s="859"/>
      <c r="B309" s="218" t="s">
        <v>587</v>
      </c>
      <c r="C309" s="226" t="s">
        <v>107</v>
      </c>
      <c r="D309" s="226">
        <v>7956</v>
      </c>
      <c r="E309" s="554">
        <v>31.835105</v>
      </c>
    </row>
    <row r="310" spans="1:5" ht="12.75">
      <c r="A310" s="859"/>
      <c r="B310" s="219" t="s">
        <v>588</v>
      </c>
      <c r="C310" s="215" t="s">
        <v>107</v>
      </c>
      <c r="D310" s="215">
        <v>1434</v>
      </c>
      <c r="E310" s="548">
        <v>29.697821</v>
      </c>
    </row>
    <row r="311" spans="1:5" ht="13.5" thickBot="1">
      <c r="A311" s="860"/>
      <c r="B311" s="220" t="s">
        <v>591</v>
      </c>
      <c r="C311" s="221">
        <v>1590</v>
      </c>
      <c r="D311" s="221">
        <v>9390</v>
      </c>
      <c r="E311" s="555">
        <v>31.529324</v>
      </c>
    </row>
    <row r="312" spans="1:5" ht="12.75" customHeight="1">
      <c r="A312" s="858" t="s">
        <v>625</v>
      </c>
      <c r="B312" s="211" t="s">
        <v>583</v>
      </c>
      <c r="C312" s="223">
        <v>3283</v>
      </c>
      <c r="D312" s="223">
        <v>17303</v>
      </c>
      <c r="E312" s="553">
        <v>28.67745</v>
      </c>
    </row>
    <row r="313" spans="1:5" ht="12.75">
      <c r="A313" s="859"/>
      <c r="B313" s="214" t="s">
        <v>584</v>
      </c>
      <c r="C313" s="215">
        <v>1241</v>
      </c>
      <c r="D313" s="215">
        <v>7358</v>
      </c>
      <c r="E313" s="548">
        <v>30.552187</v>
      </c>
    </row>
    <row r="314" spans="1:5" ht="12.75" customHeight="1">
      <c r="A314" s="859"/>
      <c r="B314" s="217" t="s">
        <v>585</v>
      </c>
      <c r="C314" s="212">
        <v>469</v>
      </c>
      <c r="D314" s="212">
        <v>5045</v>
      </c>
      <c r="E314" s="554">
        <v>54.892144</v>
      </c>
    </row>
    <row r="315" spans="1:5" ht="12.75">
      <c r="A315" s="859"/>
      <c r="B315" s="214" t="s">
        <v>586</v>
      </c>
      <c r="C315" s="215">
        <v>4055</v>
      </c>
      <c r="D315" s="215">
        <v>19616</v>
      </c>
      <c r="E315" s="548">
        <v>22.569289</v>
      </c>
    </row>
    <row r="316" spans="1:5" ht="12.75" customHeight="1">
      <c r="A316" s="859"/>
      <c r="B316" s="218" t="s">
        <v>587</v>
      </c>
      <c r="C316" s="226" t="s">
        <v>107</v>
      </c>
      <c r="D316" s="226">
        <v>20401</v>
      </c>
      <c r="E316" s="554">
        <v>29.97661</v>
      </c>
    </row>
    <row r="317" spans="1:5" ht="12.75">
      <c r="A317" s="859"/>
      <c r="B317" s="219" t="s">
        <v>588</v>
      </c>
      <c r="C317" s="215" t="s">
        <v>107</v>
      </c>
      <c r="D317" s="215">
        <v>4260</v>
      </c>
      <c r="E317" s="548">
        <v>25.316996</v>
      </c>
    </row>
    <row r="318" spans="1:5" ht="13.5" thickBot="1">
      <c r="A318" s="860"/>
      <c r="B318" s="220" t="s">
        <v>591</v>
      </c>
      <c r="C318" s="221">
        <v>4524</v>
      </c>
      <c r="D318" s="221">
        <v>24661</v>
      </c>
      <c r="E318" s="555">
        <v>29.203357</v>
      </c>
    </row>
    <row r="319" spans="1:5" ht="12.75" customHeight="1">
      <c r="A319" s="858" t="s">
        <v>626</v>
      </c>
      <c r="B319" s="211" t="s">
        <v>583</v>
      </c>
      <c r="C319" s="223">
        <v>14101</v>
      </c>
      <c r="D319" s="223">
        <v>112025</v>
      </c>
      <c r="E319" s="553">
        <v>29.84372</v>
      </c>
    </row>
    <row r="320" spans="1:5" ht="12.75">
      <c r="A320" s="859"/>
      <c r="B320" s="214" t="s">
        <v>584</v>
      </c>
      <c r="C320" s="215">
        <v>2690</v>
      </c>
      <c r="D320" s="215">
        <v>27265</v>
      </c>
      <c r="E320" s="548">
        <v>21.848797</v>
      </c>
    </row>
    <row r="321" spans="1:5" ht="12.75" customHeight="1">
      <c r="A321" s="859"/>
      <c r="B321" s="217" t="s">
        <v>585</v>
      </c>
      <c r="C321" s="212">
        <v>382</v>
      </c>
      <c r="D321" s="212">
        <v>12247</v>
      </c>
      <c r="E321" s="554">
        <v>56.046254</v>
      </c>
    </row>
    <row r="322" spans="1:5" ht="12.75">
      <c r="A322" s="859"/>
      <c r="B322" s="214" t="s">
        <v>586</v>
      </c>
      <c r="C322" s="215">
        <v>16409</v>
      </c>
      <c r="D322" s="215">
        <v>127043</v>
      </c>
      <c r="E322" s="548">
        <v>26.004521</v>
      </c>
    </row>
    <row r="323" spans="1:5" ht="12.75" customHeight="1">
      <c r="A323" s="859"/>
      <c r="B323" s="218" t="s">
        <v>587</v>
      </c>
      <c r="C323" s="226" t="s">
        <v>107</v>
      </c>
      <c r="D323" s="226">
        <v>121445</v>
      </c>
      <c r="E323" s="554">
        <v>28.711396</v>
      </c>
    </row>
    <row r="324" spans="1:5" ht="12.75">
      <c r="A324" s="859"/>
      <c r="B324" s="219" t="s">
        <v>588</v>
      </c>
      <c r="C324" s="215" t="s">
        <v>107</v>
      </c>
      <c r="D324" s="215">
        <v>17845</v>
      </c>
      <c r="E324" s="548">
        <v>26.279895</v>
      </c>
    </row>
    <row r="325" spans="1:5" ht="13.5" thickBot="1">
      <c r="A325" s="860"/>
      <c r="B325" s="220" t="s">
        <v>591</v>
      </c>
      <c r="C325" s="221">
        <v>16791</v>
      </c>
      <c r="D325" s="221">
        <v>139290</v>
      </c>
      <c r="E325" s="555">
        <v>28.418575</v>
      </c>
    </row>
    <row r="326" spans="1:5" ht="12.75" customHeight="1">
      <c r="A326" s="858" t="s">
        <v>627</v>
      </c>
      <c r="B326" s="211" t="s">
        <v>583</v>
      </c>
      <c r="C326" s="223">
        <v>4172</v>
      </c>
      <c r="D326" s="223">
        <v>36877</v>
      </c>
      <c r="E326" s="553">
        <v>37.607689</v>
      </c>
    </row>
    <row r="327" spans="1:5" ht="12.75">
      <c r="A327" s="859"/>
      <c r="B327" s="214" t="s">
        <v>584</v>
      </c>
      <c r="C327" s="215">
        <v>1140</v>
      </c>
      <c r="D327" s="215">
        <v>7034</v>
      </c>
      <c r="E327" s="548">
        <v>22.726874</v>
      </c>
    </row>
    <row r="328" spans="1:5" ht="12.75" customHeight="1">
      <c r="A328" s="859"/>
      <c r="B328" s="217" t="s">
        <v>585</v>
      </c>
      <c r="C328" s="212">
        <v>216</v>
      </c>
      <c r="D328" s="212">
        <v>3612</v>
      </c>
      <c r="E328" s="554">
        <v>62.113823</v>
      </c>
    </row>
    <row r="329" spans="1:5" ht="12.75">
      <c r="A329" s="859"/>
      <c r="B329" s="214" t="s">
        <v>586</v>
      </c>
      <c r="C329" s="215">
        <v>5096</v>
      </c>
      <c r="D329" s="215">
        <v>40299</v>
      </c>
      <c r="E329" s="548">
        <v>33.143619</v>
      </c>
    </row>
    <row r="330" spans="1:5" ht="12.75" customHeight="1">
      <c r="A330" s="859"/>
      <c r="B330" s="218" t="s">
        <v>587</v>
      </c>
      <c r="C330" s="226" t="s">
        <v>107</v>
      </c>
      <c r="D330" s="226">
        <v>32853</v>
      </c>
      <c r="E330" s="554">
        <v>38.460637</v>
      </c>
    </row>
    <row r="331" spans="1:5" ht="12.75">
      <c r="A331" s="859"/>
      <c r="B331" s="219" t="s">
        <v>588</v>
      </c>
      <c r="C331" s="215" t="s">
        <v>107</v>
      </c>
      <c r="D331" s="215">
        <v>11058</v>
      </c>
      <c r="E331" s="548">
        <v>27.069634</v>
      </c>
    </row>
    <row r="332" spans="1:5" ht="13.5" thickBot="1">
      <c r="A332" s="860"/>
      <c r="B332" s="220" t="s">
        <v>591</v>
      </c>
      <c r="C332" s="221">
        <v>5312</v>
      </c>
      <c r="D332" s="221">
        <v>43911</v>
      </c>
      <c r="E332" s="555">
        <v>35.613982</v>
      </c>
    </row>
    <row r="333" spans="1:5" ht="12.75" customHeight="1">
      <c r="A333" s="858" t="s">
        <v>628</v>
      </c>
      <c r="B333" s="211" t="s">
        <v>583</v>
      </c>
      <c r="C333" s="223">
        <v>1756</v>
      </c>
      <c r="D333" s="223">
        <v>10453</v>
      </c>
      <c r="E333" s="553">
        <v>31.450361</v>
      </c>
    </row>
    <row r="334" spans="1:5" ht="12.75">
      <c r="A334" s="859"/>
      <c r="B334" s="214" t="s">
        <v>584</v>
      </c>
      <c r="C334" s="215">
        <v>730</v>
      </c>
      <c r="D334" s="215">
        <v>3992</v>
      </c>
      <c r="E334" s="548">
        <v>20.980596</v>
      </c>
    </row>
    <row r="335" spans="1:5" ht="12.75" customHeight="1">
      <c r="A335" s="859"/>
      <c r="B335" s="217" t="s">
        <v>585</v>
      </c>
      <c r="C335" s="212">
        <v>289</v>
      </c>
      <c r="D335" s="212">
        <v>2440</v>
      </c>
      <c r="E335" s="554">
        <v>52.154184</v>
      </c>
    </row>
    <row r="336" spans="1:5" ht="12.75">
      <c r="A336" s="859"/>
      <c r="B336" s="214" t="s">
        <v>586</v>
      </c>
      <c r="C336" s="215">
        <v>2197</v>
      </c>
      <c r="D336" s="215">
        <v>12005</v>
      </c>
      <c r="E336" s="548">
        <v>24.345348</v>
      </c>
    </row>
    <row r="337" spans="1:5" ht="12.75" customHeight="1">
      <c r="A337" s="859"/>
      <c r="B337" s="218" t="s">
        <v>587</v>
      </c>
      <c r="C337" s="226" t="s">
        <v>107</v>
      </c>
      <c r="D337" s="226">
        <v>12567</v>
      </c>
      <c r="E337" s="554">
        <v>29.384997</v>
      </c>
    </row>
    <row r="338" spans="1:5" ht="12.75">
      <c r="A338" s="859"/>
      <c r="B338" s="219" t="s">
        <v>588</v>
      </c>
      <c r="C338" s="215" t="s">
        <v>107</v>
      </c>
      <c r="D338" s="215">
        <v>1878</v>
      </c>
      <c r="E338" s="548">
        <v>25.213927</v>
      </c>
    </row>
    <row r="339" spans="1:5" ht="13.5" thickBot="1">
      <c r="A339" s="860"/>
      <c r="B339" s="220" t="s">
        <v>591</v>
      </c>
      <c r="C339" s="221">
        <v>2486</v>
      </c>
      <c r="D339" s="221">
        <v>14445</v>
      </c>
      <c r="E339" s="555">
        <v>28.870445</v>
      </c>
    </row>
    <row r="340" spans="1:5" ht="12.75" customHeight="1">
      <c r="A340" s="858" t="s">
        <v>629</v>
      </c>
      <c r="B340" s="211" t="s">
        <v>583</v>
      </c>
      <c r="C340" s="223">
        <v>20445</v>
      </c>
      <c r="D340" s="223">
        <v>233064</v>
      </c>
      <c r="E340" s="553">
        <v>44.08200764921224</v>
      </c>
    </row>
    <row r="341" spans="1:5" ht="12.75">
      <c r="A341" s="859"/>
      <c r="B341" s="214" t="s">
        <v>584</v>
      </c>
      <c r="C341" s="215">
        <v>4252</v>
      </c>
      <c r="D341" s="215">
        <v>53908</v>
      </c>
      <c r="E341" s="548">
        <v>24.508328641500334</v>
      </c>
    </row>
    <row r="342" spans="1:5" ht="12.75" customHeight="1">
      <c r="A342" s="859"/>
      <c r="B342" s="217" t="s">
        <v>585</v>
      </c>
      <c r="C342" s="212">
        <v>463</v>
      </c>
      <c r="D342" s="212">
        <v>17994</v>
      </c>
      <c r="E342" s="554">
        <v>67.26920018389464</v>
      </c>
    </row>
    <row r="343" spans="1:5" ht="12.75">
      <c r="A343" s="859"/>
      <c r="B343" s="214" t="s">
        <v>586</v>
      </c>
      <c r="C343" s="215">
        <v>24234</v>
      </c>
      <c r="D343" s="215">
        <v>268978</v>
      </c>
      <c r="E343" s="548">
        <v>39.03809093781648</v>
      </c>
    </row>
    <row r="344" spans="1:5" ht="12.75" customHeight="1">
      <c r="A344" s="859"/>
      <c r="B344" s="218" t="s">
        <v>587</v>
      </c>
      <c r="C344" s="226"/>
      <c r="D344" s="226">
        <v>238952</v>
      </c>
      <c r="E344" s="554">
        <v>41.78257925082862</v>
      </c>
    </row>
    <row r="345" spans="1:5" ht="12.75">
      <c r="A345" s="859"/>
      <c r="B345" s="219" t="s">
        <v>588</v>
      </c>
      <c r="C345" s="215"/>
      <c r="D345" s="215">
        <v>48020</v>
      </c>
      <c r="E345" s="548">
        <v>35.59726097594752</v>
      </c>
    </row>
    <row r="346" spans="1:5" ht="13.5" thickBot="1">
      <c r="A346" s="860"/>
      <c r="B346" s="222" t="s">
        <v>591</v>
      </c>
      <c r="C346" s="221">
        <v>24697</v>
      </c>
      <c r="D346" s="221">
        <v>286972</v>
      </c>
      <c r="E346" s="555">
        <v>40.76908654803953</v>
      </c>
    </row>
    <row r="347" spans="1:5" ht="12.75">
      <c r="A347" s="194"/>
      <c r="B347" s="195"/>
      <c r="C347" s="197"/>
      <c r="D347" s="198"/>
      <c r="E347" s="556"/>
    </row>
    <row r="348" spans="1:5" ht="12.75">
      <c r="A348" s="194"/>
      <c r="B348" s="195"/>
      <c r="C348" s="197"/>
      <c r="D348" s="198"/>
      <c r="E348" s="556"/>
    </row>
    <row r="349" spans="1:5" ht="12.75">
      <c r="A349" s="194"/>
      <c r="B349" s="195"/>
      <c r="C349" s="197"/>
      <c r="D349" s="198"/>
      <c r="E349" s="556"/>
    </row>
    <row r="350" spans="1:5" ht="12.75">
      <c r="A350" s="194"/>
      <c r="B350" s="195"/>
      <c r="C350" s="197"/>
      <c r="D350" s="198"/>
      <c r="E350" s="556"/>
    </row>
    <row r="351" spans="1:5" ht="12.75">
      <c r="A351" s="194"/>
      <c r="B351" s="195"/>
      <c r="C351" s="197"/>
      <c r="D351" s="198"/>
      <c r="E351" s="556"/>
    </row>
    <row r="352" spans="1:5" ht="12.75">
      <c r="A352" s="190"/>
      <c r="B352" s="191"/>
      <c r="C352" s="191"/>
      <c r="D352" s="192"/>
      <c r="E352" s="193"/>
    </row>
    <row r="353" spans="1:5" ht="13.5" thickBot="1">
      <c r="A353" s="190"/>
      <c r="B353" s="191"/>
      <c r="C353" s="191"/>
      <c r="D353" s="192"/>
      <c r="E353" s="193"/>
    </row>
    <row r="354" spans="1:5" ht="12.75" customHeight="1">
      <c r="A354" s="861" t="s">
        <v>496</v>
      </c>
      <c r="B354" s="199"/>
      <c r="C354" s="201"/>
      <c r="D354" s="201" t="s">
        <v>501</v>
      </c>
      <c r="E354" s="550" t="s">
        <v>502</v>
      </c>
    </row>
    <row r="355" spans="1:5" ht="12.75">
      <c r="A355" s="862"/>
      <c r="B355" s="202" t="s">
        <v>578</v>
      </c>
      <c r="C355" s="204" t="s">
        <v>504</v>
      </c>
      <c r="D355" s="204" t="s">
        <v>505</v>
      </c>
      <c r="E355" s="551" t="s">
        <v>506</v>
      </c>
    </row>
    <row r="356" spans="1:5" ht="12.75" customHeight="1">
      <c r="A356" s="862"/>
      <c r="B356" s="205" t="s">
        <v>579</v>
      </c>
      <c r="C356" s="207" t="s">
        <v>508</v>
      </c>
      <c r="D356" s="207" t="s">
        <v>509</v>
      </c>
      <c r="E356" s="551" t="s">
        <v>580</v>
      </c>
    </row>
    <row r="357" spans="1:5" ht="13.5" thickBot="1">
      <c r="A357" s="863"/>
      <c r="B357" s="208"/>
      <c r="C357" s="210" t="s">
        <v>510</v>
      </c>
      <c r="D357" s="210" t="s">
        <v>511</v>
      </c>
      <c r="E357" s="557" t="s">
        <v>581</v>
      </c>
    </row>
    <row r="358" spans="1:5" ht="12.75" customHeight="1">
      <c r="A358" s="858" t="s">
        <v>630</v>
      </c>
      <c r="B358" s="236" t="s">
        <v>583</v>
      </c>
      <c r="C358" s="223">
        <v>20618</v>
      </c>
      <c r="D358" s="223">
        <v>124477</v>
      </c>
      <c r="E358" s="553">
        <v>28.001939</v>
      </c>
    </row>
    <row r="359" spans="1:5" ht="12.75">
      <c r="A359" s="859"/>
      <c r="B359" s="237" t="s">
        <v>584</v>
      </c>
      <c r="C359" s="215">
        <v>3808</v>
      </c>
      <c r="D359" s="215">
        <v>35517</v>
      </c>
      <c r="E359" s="548">
        <v>22.632828</v>
      </c>
    </row>
    <row r="360" spans="1:5" ht="12.75" customHeight="1">
      <c r="A360" s="859"/>
      <c r="B360" s="238" t="s">
        <v>585</v>
      </c>
      <c r="C360" s="212">
        <v>873</v>
      </c>
      <c r="D360" s="212">
        <v>16248</v>
      </c>
      <c r="E360" s="554">
        <v>52.152346</v>
      </c>
    </row>
    <row r="361" spans="1:5" ht="12.75">
      <c r="A361" s="859"/>
      <c r="B361" s="237" t="s">
        <v>586</v>
      </c>
      <c r="C361" s="215">
        <v>23553</v>
      </c>
      <c r="D361" s="215">
        <v>143746</v>
      </c>
      <c r="E361" s="548">
        <v>24.170733</v>
      </c>
    </row>
    <row r="362" spans="1:5" ht="12.75" customHeight="1">
      <c r="A362" s="859"/>
      <c r="B362" s="239" t="s">
        <v>587</v>
      </c>
      <c r="C362" s="226" t="s">
        <v>107</v>
      </c>
      <c r="D362" s="226">
        <v>142640</v>
      </c>
      <c r="E362" s="554">
        <v>26.892985</v>
      </c>
    </row>
    <row r="363" spans="1:5" ht="12.75">
      <c r="A363" s="859"/>
      <c r="B363" s="240" t="s">
        <v>588</v>
      </c>
      <c r="C363" s="215" t="s">
        <v>107</v>
      </c>
      <c r="D363" s="215">
        <v>17354</v>
      </c>
      <c r="E363" s="548">
        <v>27.064846</v>
      </c>
    </row>
    <row r="364" spans="1:5" ht="13.5" thickBot="1">
      <c r="A364" s="860"/>
      <c r="B364" s="241" t="s">
        <v>591</v>
      </c>
      <c r="C364" s="221">
        <v>24426</v>
      </c>
      <c r="D364" s="221">
        <v>159994</v>
      </c>
      <c r="E364" s="555">
        <v>26.910368</v>
      </c>
    </row>
    <row r="365" spans="1:5" ht="12.75" customHeight="1">
      <c r="A365" s="858" t="s">
        <v>631</v>
      </c>
      <c r="B365" s="236" t="s">
        <v>583</v>
      </c>
      <c r="C365" s="223">
        <v>5700</v>
      </c>
      <c r="D365" s="223">
        <v>38975</v>
      </c>
      <c r="E365" s="553">
        <v>32.751497</v>
      </c>
    </row>
    <row r="366" spans="1:5" ht="12.75">
      <c r="A366" s="859"/>
      <c r="B366" s="237" t="s">
        <v>584</v>
      </c>
      <c r="C366" s="215">
        <v>1706</v>
      </c>
      <c r="D366" s="215">
        <v>15388</v>
      </c>
      <c r="E366" s="548">
        <v>24.769788</v>
      </c>
    </row>
    <row r="367" spans="1:5" ht="12.75" customHeight="1">
      <c r="A367" s="859"/>
      <c r="B367" s="238" t="s">
        <v>585</v>
      </c>
      <c r="C367" s="212">
        <v>457</v>
      </c>
      <c r="D367" s="212">
        <v>9678</v>
      </c>
      <c r="E367" s="554">
        <v>59.162406</v>
      </c>
    </row>
    <row r="368" spans="1:5" ht="12.75">
      <c r="A368" s="859"/>
      <c r="B368" s="237" t="s">
        <v>586</v>
      </c>
      <c r="C368" s="215">
        <v>6949</v>
      </c>
      <c r="D368" s="215">
        <v>44685</v>
      </c>
      <c r="E368" s="548">
        <v>24.117411</v>
      </c>
    </row>
    <row r="369" spans="1:5" ht="12.75" customHeight="1">
      <c r="A369" s="859"/>
      <c r="B369" s="239" t="s">
        <v>587</v>
      </c>
      <c r="C369" s="226" t="s">
        <v>107</v>
      </c>
      <c r="D369" s="226">
        <v>48369</v>
      </c>
      <c r="E369" s="554">
        <v>31.224886</v>
      </c>
    </row>
    <row r="370" spans="1:5" ht="12.75">
      <c r="A370" s="859"/>
      <c r="B370" s="240" t="s">
        <v>588</v>
      </c>
      <c r="C370" s="215" t="s">
        <v>107</v>
      </c>
      <c r="D370" s="215">
        <v>5994</v>
      </c>
      <c r="E370" s="548">
        <v>25.152452</v>
      </c>
    </row>
    <row r="371" spans="1:5" ht="13.5" thickBot="1">
      <c r="A371" s="860"/>
      <c r="B371" s="241" t="s">
        <v>591</v>
      </c>
      <c r="C371" s="221">
        <v>7406</v>
      </c>
      <c r="D371" s="221">
        <v>54363</v>
      </c>
      <c r="E371" s="555">
        <v>30.584587</v>
      </c>
    </row>
    <row r="372" spans="1:5" ht="12.75" customHeight="1">
      <c r="A372" s="858" t="s">
        <v>632</v>
      </c>
      <c r="B372" s="236" t="s">
        <v>583</v>
      </c>
      <c r="C372" s="223">
        <v>5854</v>
      </c>
      <c r="D372" s="223">
        <v>41442</v>
      </c>
      <c r="E372" s="553">
        <v>28.099484</v>
      </c>
    </row>
    <row r="373" spans="1:5" ht="12.75">
      <c r="A373" s="859"/>
      <c r="B373" s="237" t="s">
        <v>584</v>
      </c>
      <c r="C373" s="215">
        <v>1250</v>
      </c>
      <c r="D373" s="215">
        <v>12546</v>
      </c>
      <c r="E373" s="548">
        <v>21.664929</v>
      </c>
    </row>
    <row r="374" spans="1:5" ht="12.75" customHeight="1">
      <c r="A374" s="859"/>
      <c r="B374" s="238" t="s">
        <v>585</v>
      </c>
      <c r="C374" s="212">
        <v>271</v>
      </c>
      <c r="D374" s="212">
        <v>6885</v>
      </c>
      <c r="E374" s="554">
        <v>53.580287</v>
      </c>
    </row>
    <row r="375" spans="1:5" ht="12.75">
      <c r="A375" s="859"/>
      <c r="B375" s="237" t="s">
        <v>586</v>
      </c>
      <c r="C375" s="215">
        <v>6833</v>
      </c>
      <c r="D375" s="215">
        <v>47103</v>
      </c>
      <c r="E375" s="548">
        <v>22.798447</v>
      </c>
    </row>
    <row r="376" spans="1:5" ht="12.75" customHeight="1">
      <c r="A376" s="859"/>
      <c r="B376" s="239" t="s">
        <v>587</v>
      </c>
      <c r="C376" s="226" t="s">
        <v>107</v>
      </c>
      <c r="D376" s="226">
        <v>45247</v>
      </c>
      <c r="E376" s="554">
        <v>27.147214</v>
      </c>
    </row>
    <row r="377" spans="1:5" ht="12.75">
      <c r="A377" s="859"/>
      <c r="B377" s="240" t="s">
        <v>588</v>
      </c>
      <c r="C377" s="215" t="s">
        <v>107</v>
      </c>
      <c r="D377" s="215">
        <v>8741</v>
      </c>
      <c r="E377" s="548">
        <v>24.202427</v>
      </c>
    </row>
    <row r="378" spans="1:5" ht="13.5" thickBot="1">
      <c r="A378" s="860"/>
      <c r="B378" s="242" t="s">
        <v>591</v>
      </c>
      <c r="C378" s="221">
        <v>7104</v>
      </c>
      <c r="D378" s="221">
        <v>53988</v>
      </c>
      <c r="E378" s="555">
        <v>26.693443</v>
      </c>
    </row>
    <row r="379" spans="1:5" ht="12.75" customHeight="1">
      <c r="A379" s="858" t="s">
        <v>633</v>
      </c>
      <c r="B379" s="236" t="s">
        <v>583</v>
      </c>
      <c r="C379" s="223">
        <v>14342</v>
      </c>
      <c r="D379" s="223">
        <v>115599</v>
      </c>
      <c r="E379" s="553">
        <v>33.107987</v>
      </c>
    </row>
    <row r="380" spans="1:5" ht="12.75">
      <c r="A380" s="859"/>
      <c r="B380" s="237" t="s">
        <v>584</v>
      </c>
      <c r="C380" s="215">
        <v>3090</v>
      </c>
      <c r="D380" s="215">
        <v>25508</v>
      </c>
      <c r="E380" s="548">
        <v>23.45378</v>
      </c>
    </row>
    <row r="381" spans="1:5" ht="12.75" customHeight="1">
      <c r="A381" s="859"/>
      <c r="B381" s="238" t="s">
        <v>585</v>
      </c>
      <c r="C381" s="212">
        <v>671</v>
      </c>
      <c r="D381" s="212">
        <v>12193</v>
      </c>
      <c r="E381" s="554">
        <v>58.884145</v>
      </c>
    </row>
    <row r="382" spans="1:5" ht="12.75">
      <c r="A382" s="859"/>
      <c r="B382" s="237" t="s">
        <v>586</v>
      </c>
      <c r="C382" s="215">
        <v>16761</v>
      </c>
      <c r="D382" s="215">
        <v>128914</v>
      </c>
      <c r="E382" s="548">
        <v>28.827323</v>
      </c>
    </row>
    <row r="383" spans="1:5" ht="12.75" customHeight="1">
      <c r="A383" s="859"/>
      <c r="B383" s="239" t="s">
        <v>587</v>
      </c>
      <c r="C383" s="226" t="s">
        <v>107</v>
      </c>
      <c r="D383" s="226">
        <v>111650</v>
      </c>
      <c r="E383" s="554">
        <v>32.479592</v>
      </c>
    </row>
    <row r="384" spans="1:5" ht="12.75">
      <c r="A384" s="859"/>
      <c r="B384" s="240" t="s">
        <v>588</v>
      </c>
      <c r="C384" s="215" t="s">
        <v>107</v>
      </c>
      <c r="D384" s="215">
        <v>29457</v>
      </c>
      <c r="E384" s="548">
        <v>27.374472</v>
      </c>
    </row>
    <row r="385" spans="1:5" ht="13.5" thickBot="1">
      <c r="A385" s="860"/>
      <c r="B385" s="242" t="s">
        <v>591</v>
      </c>
      <c r="C385" s="221">
        <v>17432</v>
      </c>
      <c r="D385" s="221">
        <v>141107</v>
      </c>
      <c r="E385" s="555">
        <v>31.480161</v>
      </c>
    </row>
    <row r="386" spans="1:5" ht="12.75" customHeight="1">
      <c r="A386" s="864" t="s">
        <v>634</v>
      </c>
      <c r="B386" s="236" t="s">
        <v>583</v>
      </c>
      <c r="C386" s="223">
        <v>5458</v>
      </c>
      <c r="D386" s="223">
        <v>51917</v>
      </c>
      <c r="E386" s="553">
        <v>26.860378</v>
      </c>
    </row>
    <row r="387" spans="1:5" ht="12.75">
      <c r="A387" s="865"/>
      <c r="B387" s="237" t="s">
        <v>584</v>
      </c>
      <c r="C387" s="215">
        <v>1633</v>
      </c>
      <c r="D387" s="215">
        <v>20069</v>
      </c>
      <c r="E387" s="548">
        <v>29.064067</v>
      </c>
    </row>
    <row r="388" spans="1:5" ht="12.75" customHeight="1">
      <c r="A388" s="865"/>
      <c r="B388" s="238" t="s">
        <v>585</v>
      </c>
      <c r="C388" s="212">
        <v>335</v>
      </c>
      <c r="D388" s="212">
        <v>9796</v>
      </c>
      <c r="E388" s="554">
        <v>63.870379</v>
      </c>
    </row>
    <row r="389" spans="1:5" ht="12.75">
      <c r="A389" s="865"/>
      <c r="B389" s="237" t="s">
        <v>586</v>
      </c>
      <c r="C389" s="215">
        <v>6756</v>
      </c>
      <c r="D389" s="215">
        <v>62190</v>
      </c>
      <c r="E389" s="548">
        <v>21.6177</v>
      </c>
    </row>
    <row r="390" spans="1:5" ht="12.75" customHeight="1">
      <c r="A390" s="865"/>
      <c r="B390" s="239" t="s">
        <v>587</v>
      </c>
      <c r="C390" s="226" t="s">
        <v>107</v>
      </c>
      <c r="D390" s="226">
        <v>63703</v>
      </c>
      <c r="E390" s="554">
        <v>27.782318</v>
      </c>
    </row>
    <row r="391" spans="1:5" ht="12.75">
      <c r="A391" s="865"/>
      <c r="B391" s="240" t="s">
        <v>588</v>
      </c>
      <c r="C391" s="215" t="s">
        <v>107</v>
      </c>
      <c r="D391" s="215">
        <v>8283</v>
      </c>
      <c r="E391" s="548">
        <v>24.523256</v>
      </c>
    </row>
    <row r="392" spans="1:5" ht="13.5" thickBot="1">
      <c r="A392" s="866"/>
      <c r="B392" s="242" t="s">
        <v>591</v>
      </c>
      <c r="C392" s="221">
        <v>7091</v>
      </c>
      <c r="D392" s="221">
        <v>71986</v>
      </c>
      <c r="E392" s="555">
        <v>27.423437</v>
      </c>
    </row>
    <row r="393" spans="1:5" ht="12.75" customHeight="1">
      <c r="A393" s="858" t="s">
        <v>635</v>
      </c>
      <c r="B393" s="236" t="s">
        <v>583</v>
      </c>
      <c r="C393" s="223">
        <v>1412</v>
      </c>
      <c r="D393" s="223">
        <v>11855</v>
      </c>
      <c r="E393" s="553">
        <v>32.129352</v>
      </c>
    </row>
    <row r="394" spans="1:5" ht="12.75">
      <c r="A394" s="859"/>
      <c r="B394" s="237" t="s">
        <v>584</v>
      </c>
      <c r="C394" s="215">
        <v>509</v>
      </c>
      <c r="D394" s="215">
        <v>5269</v>
      </c>
      <c r="E394" s="548">
        <v>24.678755</v>
      </c>
    </row>
    <row r="395" spans="1:5" ht="12.75" customHeight="1">
      <c r="A395" s="859"/>
      <c r="B395" s="238" t="s">
        <v>585</v>
      </c>
      <c r="C395" s="212">
        <v>168</v>
      </c>
      <c r="D395" s="212">
        <v>4383</v>
      </c>
      <c r="E395" s="554">
        <v>52.89304</v>
      </c>
    </row>
    <row r="396" spans="1:5" ht="12.75">
      <c r="A396" s="859"/>
      <c r="B396" s="237" t="s">
        <v>586</v>
      </c>
      <c r="C396" s="215">
        <v>1753</v>
      </c>
      <c r="D396" s="215">
        <v>12741</v>
      </c>
      <c r="E396" s="548">
        <v>22.301572</v>
      </c>
    </row>
    <row r="397" spans="1:5" ht="12.75" customHeight="1">
      <c r="A397" s="859"/>
      <c r="B397" s="239" t="s">
        <v>587</v>
      </c>
      <c r="C397" s="226" t="s">
        <v>107</v>
      </c>
      <c r="D397" s="226">
        <v>15383</v>
      </c>
      <c r="E397" s="554">
        <v>29.840345</v>
      </c>
    </row>
    <row r="398" spans="1:5" ht="12.75">
      <c r="A398" s="859"/>
      <c r="B398" s="240" t="s">
        <v>588</v>
      </c>
      <c r="C398" s="215" t="s">
        <v>107</v>
      </c>
      <c r="D398" s="215">
        <v>1741</v>
      </c>
      <c r="E398" s="548">
        <v>32.75239</v>
      </c>
    </row>
    <row r="399" spans="1:5" ht="13.5" thickBot="1">
      <c r="A399" s="860"/>
      <c r="B399" s="241" t="s">
        <v>591</v>
      </c>
      <c r="C399" s="221">
        <v>1921</v>
      </c>
      <c r="D399" s="221">
        <v>17124</v>
      </c>
      <c r="E399" s="555">
        <v>30.102126</v>
      </c>
    </row>
    <row r="400" spans="1:5" ht="12.75" customHeight="1">
      <c r="A400" s="858" t="s">
        <v>636</v>
      </c>
      <c r="B400" s="236" t="s">
        <v>583</v>
      </c>
      <c r="C400" s="223">
        <v>18324</v>
      </c>
      <c r="D400" s="223">
        <v>101884</v>
      </c>
      <c r="E400" s="553">
        <v>28.386751</v>
      </c>
    </row>
    <row r="401" spans="1:5" ht="12.75">
      <c r="A401" s="859"/>
      <c r="B401" s="237" t="s">
        <v>584</v>
      </c>
      <c r="C401" s="215">
        <v>5725</v>
      </c>
      <c r="D401" s="215">
        <v>39503</v>
      </c>
      <c r="E401" s="548">
        <v>23.955869</v>
      </c>
    </row>
    <row r="402" spans="1:5" ht="12.75" customHeight="1">
      <c r="A402" s="859"/>
      <c r="B402" s="238" t="s">
        <v>585</v>
      </c>
      <c r="C402" s="212">
        <v>651</v>
      </c>
      <c r="D402" s="212">
        <v>12305</v>
      </c>
      <c r="E402" s="554">
        <v>57.515824</v>
      </c>
    </row>
    <row r="403" spans="1:5" ht="12.75">
      <c r="A403" s="859"/>
      <c r="B403" s="237" t="s">
        <v>586</v>
      </c>
      <c r="C403" s="215">
        <v>23398</v>
      </c>
      <c r="D403" s="215">
        <v>129082</v>
      </c>
      <c r="E403" s="548">
        <v>24.123401</v>
      </c>
    </row>
    <row r="404" spans="1:5" ht="12.75" customHeight="1">
      <c r="A404" s="859"/>
      <c r="B404" s="239" t="s">
        <v>587</v>
      </c>
      <c r="C404" s="226" t="s">
        <v>107</v>
      </c>
      <c r="D404" s="226">
        <v>114998</v>
      </c>
      <c r="E404" s="554">
        <v>27.504886</v>
      </c>
    </row>
    <row r="405" spans="1:5" ht="12.75">
      <c r="A405" s="859"/>
      <c r="B405" s="240" t="s">
        <v>588</v>
      </c>
      <c r="C405" s="215" t="s">
        <v>107</v>
      </c>
      <c r="D405" s="215">
        <v>26389</v>
      </c>
      <c r="E405" s="548">
        <v>26.141305</v>
      </c>
    </row>
    <row r="406" spans="1:5" ht="13.5" thickBot="1">
      <c r="A406" s="860"/>
      <c r="B406" s="242" t="s">
        <v>591</v>
      </c>
      <c r="C406" s="221">
        <v>24049</v>
      </c>
      <c r="D406" s="221">
        <v>141387</v>
      </c>
      <c r="E406" s="555">
        <v>27.249904</v>
      </c>
    </row>
    <row r="407" spans="1:5" ht="12.75">
      <c r="A407" s="194"/>
      <c r="B407" s="195"/>
      <c r="C407" s="197"/>
      <c r="D407" s="198"/>
      <c r="E407" s="556"/>
    </row>
    <row r="408" spans="1:5" ht="12.75">
      <c r="A408" s="194"/>
      <c r="B408" s="195"/>
      <c r="C408" s="197"/>
      <c r="D408" s="198"/>
      <c r="E408" s="556"/>
    </row>
    <row r="409" spans="1:5" ht="12.75">
      <c r="A409" s="194"/>
      <c r="B409" s="195"/>
      <c r="C409" s="197"/>
      <c r="D409" s="198"/>
      <c r="E409" s="556"/>
    </row>
    <row r="410" spans="1:5" ht="12.75">
      <c r="A410" s="194"/>
      <c r="B410" s="195"/>
      <c r="C410" s="197"/>
      <c r="D410" s="198"/>
      <c r="E410" s="556"/>
    </row>
    <row r="411" spans="1:5" ht="12.75">
      <c r="A411" s="194"/>
      <c r="B411" s="195"/>
      <c r="C411" s="197"/>
      <c r="D411" s="198"/>
      <c r="E411" s="556"/>
    </row>
    <row r="412" spans="1:5" ht="12.75">
      <c r="A412" s="194"/>
      <c r="B412" s="195"/>
      <c r="C412" s="197"/>
      <c r="D412" s="198"/>
      <c r="E412" s="556"/>
    </row>
    <row r="413" spans="1:5" ht="13.5" thickBot="1">
      <c r="A413" s="190"/>
      <c r="B413" s="191"/>
      <c r="C413" s="191"/>
      <c r="D413" s="192"/>
      <c r="E413" s="193"/>
    </row>
    <row r="414" spans="1:5" ht="12.75" customHeight="1">
      <c r="A414" s="861" t="s">
        <v>496</v>
      </c>
      <c r="B414" s="199"/>
      <c r="C414" s="201"/>
      <c r="D414" s="201" t="s">
        <v>501</v>
      </c>
      <c r="E414" s="550" t="s">
        <v>502</v>
      </c>
    </row>
    <row r="415" spans="1:5" ht="12.75">
      <c r="A415" s="862"/>
      <c r="B415" s="202" t="s">
        <v>578</v>
      </c>
      <c r="C415" s="204" t="s">
        <v>504</v>
      </c>
      <c r="D415" s="204" t="s">
        <v>505</v>
      </c>
      <c r="E415" s="551" t="s">
        <v>506</v>
      </c>
    </row>
    <row r="416" spans="1:5" ht="12.75" customHeight="1">
      <c r="A416" s="862"/>
      <c r="B416" s="205" t="s">
        <v>579</v>
      </c>
      <c r="C416" s="207" t="s">
        <v>508</v>
      </c>
      <c r="D416" s="207" t="s">
        <v>509</v>
      </c>
      <c r="E416" s="551" t="s">
        <v>580</v>
      </c>
    </row>
    <row r="417" spans="1:5" ht="13.5" thickBot="1">
      <c r="A417" s="863"/>
      <c r="B417" s="208"/>
      <c r="C417" s="210" t="s">
        <v>510</v>
      </c>
      <c r="D417" s="210" t="s">
        <v>511</v>
      </c>
      <c r="E417" s="557" t="s">
        <v>581</v>
      </c>
    </row>
    <row r="418" spans="1:5" ht="12.75" customHeight="1">
      <c r="A418" s="858" t="s">
        <v>637</v>
      </c>
      <c r="B418" s="236" t="s">
        <v>583</v>
      </c>
      <c r="C418" s="223">
        <v>488</v>
      </c>
      <c r="D418" s="223">
        <v>4189</v>
      </c>
      <c r="E418" s="553">
        <v>43.007233</v>
      </c>
    </row>
    <row r="419" spans="1:5" ht="12.75">
      <c r="A419" s="859"/>
      <c r="B419" s="237" t="s">
        <v>584</v>
      </c>
      <c r="C419" s="215">
        <v>335</v>
      </c>
      <c r="D419" s="215">
        <v>4653</v>
      </c>
      <c r="E419" s="548">
        <v>27.53153</v>
      </c>
    </row>
    <row r="420" spans="1:5" ht="12.75" customHeight="1">
      <c r="A420" s="859"/>
      <c r="B420" s="238" t="s">
        <v>585</v>
      </c>
      <c r="C420" s="212">
        <v>122</v>
      </c>
      <c r="D420" s="212">
        <v>4376</v>
      </c>
      <c r="E420" s="554">
        <v>51.615065</v>
      </c>
    </row>
    <row r="421" spans="1:5" ht="12.75">
      <c r="A421" s="859"/>
      <c r="B421" s="237" t="s">
        <v>586</v>
      </c>
      <c r="C421" s="215">
        <v>701</v>
      </c>
      <c r="D421" s="215">
        <v>4466</v>
      </c>
      <c r="E421" s="548">
        <v>21.859988</v>
      </c>
    </row>
    <row r="422" spans="1:5" ht="12.75" customHeight="1">
      <c r="A422" s="859"/>
      <c r="B422" s="239" t="s">
        <v>587</v>
      </c>
      <c r="C422" s="226" t="s">
        <v>107</v>
      </c>
      <c r="D422" s="226">
        <v>7543</v>
      </c>
      <c r="E422" s="554">
        <v>36.017958</v>
      </c>
    </row>
    <row r="423" spans="1:5" ht="12.75">
      <c r="A423" s="859"/>
      <c r="B423" s="240" t="s">
        <v>588</v>
      </c>
      <c r="C423" s="215" t="s">
        <v>107</v>
      </c>
      <c r="D423" s="215">
        <v>1299</v>
      </c>
      <c r="E423" s="548">
        <v>32.659616</v>
      </c>
    </row>
    <row r="424" spans="1:5" ht="13.5" thickBot="1">
      <c r="A424" s="860"/>
      <c r="B424" s="242" t="s">
        <v>591</v>
      </c>
      <c r="C424" s="221">
        <v>823</v>
      </c>
      <c r="D424" s="221">
        <v>8842</v>
      </c>
      <c r="E424" s="555">
        <v>35.643316</v>
      </c>
    </row>
    <row r="425" spans="1:5" ht="12.75" customHeight="1">
      <c r="A425" s="858" t="s">
        <v>638</v>
      </c>
      <c r="B425" s="236" t="s">
        <v>583</v>
      </c>
      <c r="C425" s="223">
        <v>2780</v>
      </c>
      <c r="D425" s="223">
        <v>16766</v>
      </c>
      <c r="E425" s="553">
        <v>25.539491</v>
      </c>
    </row>
    <row r="426" spans="1:5" ht="12.75">
      <c r="A426" s="859"/>
      <c r="B426" s="237" t="s">
        <v>584</v>
      </c>
      <c r="C426" s="215">
        <v>732</v>
      </c>
      <c r="D426" s="215">
        <v>4005</v>
      </c>
      <c r="E426" s="548">
        <v>21.214317</v>
      </c>
    </row>
    <row r="427" spans="1:5" ht="12.75" customHeight="1">
      <c r="A427" s="859"/>
      <c r="B427" s="238" t="s">
        <v>585</v>
      </c>
      <c r="C427" s="212">
        <v>178</v>
      </c>
      <c r="D427" s="212">
        <v>2622</v>
      </c>
      <c r="E427" s="554">
        <v>42.785915</v>
      </c>
    </row>
    <row r="428" spans="1:5" ht="12.75">
      <c r="A428" s="859"/>
      <c r="B428" s="237" t="s">
        <v>586</v>
      </c>
      <c r="C428" s="215">
        <v>3334</v>
      </c>
      <c r="D428" s="215">
        <v>18149</v>
      </c>
      <c r="E428" s="548">
        <v>22.310966</v>
      </c>
    </row>
    <row r="429" spans="1:5" ht="12.75" customHeight="1">
      <c r="A429" s="859"/>
      <c r="B429" s="239" t="s">
        <v>587</v>
      </c>
      <c r="C429" s="226" t="s">
        <v>107</v>
      </c>
      <c r="D429" s="226">
        <v>17678</v>
      </c>
      <c r="E429" s="554">
        <v>24.955584</v>
      </c>
    </row>
    <row r="430" spans="1:5" ht="12.75">
      <c r="A430" s="859"/>
      <c r="B430" s="240" t="s">
        <v>588</v>
      </c>
      <c r="C430" s="215" t="s">
        <v>107</v>
      </c>
      <c r="D430" s="215">
        <v>3093</v>
      </c>
      <c r="E430" s="548">
        <v>23.958014</v>
      </c>
    </row>
    <row r="431" spans="1:5" ht="13.5" thickBot="1">
      <c r="A431" s="860"/>
      <c r="B431" s="242" t="s">
        <v>591</v>
      </c>
      <c r="C431" s="221">
        <v>3512</v>
      </c>
      <c r="D431" s="221">
        <v>20771</v>
      </c>
      <c r="E431" s="555">
        <v>24.813935</v>
      </c>
    </row>
    <row r="432" spans="1:5" ht="12.75" customHeight="1">
      <c r="A432" s="858" t="s">
        <v>639</v>
      </c>
      <c r="B432" s="236" t="s">
        <v>583</v>
      </c>
      <c r="C432" s="223">
        <v>2183</v>
      </c>
      <c r="D432" s="223">
        <v>14118</v>
      </c>
      <c r="E432" s="553">
        <v>28.294203</v>
      </c>
    </row>
    <row r="433" spans="1:5" ht="12.75">
      <c r="A433" s="859"/>
      <c r="B433" s="237" t="s">
        <v>584</v>
      </c>
      <c r="C433" s="215">
        <v>887</v>
      </c>
      <c r="D433" s="215">
        <v>6513</v>
      </c>
      <c r="E433" s="548">
        <v>22.798468</v>
      </c>
    </row>
    <row r="434" spans="1:5" ht="12.75" customHeight="1">
      <c r="A434" s="859"/>
      <c r="B434" s="238" t="s">
        <v>585</v>
      </c>
      <c r="C434" s="212">
        <v>179</v>
      </c>
      <c r="D434" s="212">
        <v>3171</v>
      </c>
      <c r="E434" s="554">
        <v>46.219194</v>
      </c>
    </row>
    <row r="435" spans="1:5" ht="12.75">
      <c r="A435" s="859"/>
      <c r="B435" s="237" t="s">
        <v>586</v>
      </c>
      <c r="C435" s="215">
        <v>2891</v>
      </c>
      <c r="D435" s="215">
        <v>17460</v>
      </c>
      <c r="E435" s="548">
        <v>23.633459</v>
      </c>
    </row>
    <row r="436" spans="1:5" ht="12.75" customHeight="1">
      <c r="A436" s="859"/>
      <c r="B436" s="239" t="s">
        <v>587</v>
      </c>
      <c r="C436" s="226" t="s">
        <v>107</v>
      </c>
      <c r="D436" s="226">
        <v>17565</v>
      </c>
      <c r="E436" s="554">
        <v>27.077892</v>
      </c>
    </row>
    <row r="437" spans="1:5" ht="12.75">
      <c r="A437" s="859"/>
      <c r="B437" s="240" t="s">
        <v>588</v>
      </c>
      <c r="C437" s="215" t="s">
        <v>107</v>
      </c>
      <c r="D437" s="215">
        <v>3066</v>
      </c>
      <c r="E437" s="548">
        <v>24.719446</v>
      </c>
    </row>
    <row r="438" spans="1:5" ht="13.5" thickBot="1">
      <c r="A438" s="860"/>
      <c r="B438" s="242" t="s">
        <v>591</v>
      </c>
      <c r="C438" s="221">
        <v>3070</v>
      </c>
      <c r="D438" s="221">
        <v>20631</v>
      </c>
      <c r="E438" s="555">
        <v>26.757731</v>
      </c>
    </row>
    <row r="439" spans="1:5" ht="12.75" customHeight="1">
      <c r="A439" s="858" t="s">
        <v>640</v>
      </c>
      <c r="B439" s="236" t="s">
        <v>583</v>
      </c>
      <c r="C439" s="223">
        <v>6537</v>
      </c>
      <c r="D439" s="223">
        <v>33570</v>
      </c>
      <c r="E439" s="553">
        <v>24.943081</v>
      </c>
    </row>
    <row r="440" spans="1:5" ht="12.75">
      <c r="A440" s="859"/>
      <c r="B440" s="237" t="s">
        <v>584</v>
      </c>
      <c r="C440" s="215">
        <v>2161</v>
      </c>
      <c r="D440" s="215">
        <v>13143</v>
      </c>
      <c r="E440" s="548">
        <v>26.404308</v>
      </c>
    </row>
    <row r="441" spans="1:5" ht="12.75" customHeight="1">
      <c r="A441" s="859"/>
      <c r="B441" s="238" t="s">
        <v>585</v>
      </c>
      <c r="C441" s="212">
        <v>402</v>
      </c>
      <c r="D441" s="212">
        <v>4334</v>
      </c>
      <c r="E441" s="554">
        <v>58.413554</v>
      </c>
    </row>
    <row r="442" spans="1:5" ht="12.75">
      <c r="A442" s="859"/>
      <c r="B442" s="237" t="s">
        <v>586</v>
      </c>
      <c r="C442" s="215">
        <v>8296</v>
      </c>
      <c r="D442" s="215">
        <v>42379</v>
      </c>
      <c r="E442" s="548">
        <v>21.954567</v>
      </c>
    </row>
    <row r="443" spans="1:5" ht="12.75" customHeight="1">
      <c r="A443" s="859"/>
      <c r="B443" s="239" t="s">
        <v>587</v>
      </c>
      <c r="C443" s="226" t="s">
        <v>107</v>
      </c>
      <c r="D443" s="226">
        <v>35379</v>
      </c>
      <c r="E443" s="554">
        <v>26.218968</v>
      </c>
    </row>
    <row r="444" spans="1:5" ht="12.75">
      <c r="A444" s="859"/>
      <c r="B444" s="240" t="s">
        <v>588</v>
      </c>
      <c r="C444" s="215" t="s">
        <v>107</v>
      </c>
      <c r="D444" s="215">
        <v>11334</v>
      </c>
      <c r="E444" s="548">
        <v>22.351763</v>
      </c>
    </row>
    <row r="445" spans="1:5" ht="13.5" thickBot="1">
      <c r="A445" s="860"/>
      <c r="B445" s="242" t="s">
        <v>591</v>
      </c>
      <c r="C445" s="221">
        <v>8698</v>
      </c>
      <c r="D445" s="221">
        <v>46713</v>
      </c>
      <c r="E445" s="555">
        <v>25.306277</v>
      </c>
    </row>
    <row r="446" spans="1:5" ht="12.75" customHeight="1">
      <c r="A446" s="858" t="s">
        <v>641</v>
      </c>
      <c r="B446" s="236" t="s">
        <v>583</v>
      </c>
      <c r="C446" s="223">
        <v>3395</v>
      </c>
      <c r="D446" s="223">
        <v>29039</v>
      </c>
      <c r="E446" s="553">
        <v>39.881513</v>
      </c>
    </row>
    <row r="447" spans="1:5" ht="12.75">
      <c r="A447" s="859"/>
      <c r="B447" s="237" t="s">
        <v>584</v>
      </c>
      <c r="C447" s="215">
        <v>776</v>
      </c>
      <c r="D447" s="215">
        <v>6646</v>
      </c>
      <c r="E447" s="548">
        <v>23.290005</v>
      </c>
    </row>
    <row r="448" spans="1:5" ht="12.75" customHeight="1">
      <c r="A448" s="859"/>
      <c r="B448" s="238" t="s">
        <v>585</v>
      </c>
      <c r="C448" s="212">
        <v>237</v>
      </c>
      <c r="D448" s="212">
        <v>13139</v>
      </c>
      <c r="E448" s="554">
        <v>54.949302</v>
      </c>
    </row>
    <row r="449" spans="1:5" ht="12.75">
      <c r="A449" s="859"/>
      <c r="B449" s="237" t="s">
        <v>586</v>
      </c>
      <c r="C449" s="215">
        <v>3934</v>
      </c>
      <c r="D449" s="215">
        <v>22546</v>
      </c>
      <c r="E449" s="548">
        <v>26.009874</v>
      </c>
    </row>
    <row r="450" spans="1:5" ht="12.75" customHeight="1">
      <c r="A450" s="859"/>
      <c r="B450" s="239" t="s">
        <v>587</v>
      </c>
      <c r="C450" s="226" t="s">
        <v>107</v>
      </c>
      <c r="D450" s="226">
        <v>31282</v>
      </c>
      <c r="E450" s="554">
        <v>38.170266</v>
      </c>
    </row>
    <row r="451" spans="1:5" ht="12.75">
      <c r="A451" s="859"/>
      <c r="B451" s="240" t="s">
        <v>588</v>
      </c>
      <c r="C451" s="215" t="s">
        <v>107</v>
      </c>
      <c r="D451" s="215">
        <v>4403</v>
      </c>
      <c r="E451" s="548">
        <v>28.875308</v>
      </c>
    </row>
    <row r="452" spans="1:5" ht="13.5" thickBot="1">
      <c r="A452" s="860"/>
      <c r="B452" s="242" t="s">
        <v>591</v>
      </c>
      <c r="C452" s="221">
        <v>4171</v>
      </c>
      <c r="D452" s="221">
        <v>35685</v>
      </c>
      <c r="E452" s="555">
        <v>37.095882</v>
      </c>
    </row>
    <row r="453" spans="1:5" ht="12.75" customHeight="1">
      <c r="A453" s="858" t="s">
        <v>642</v>
      </c>
      <c r="B453" s="236" t="s">
        <v>583</v>
      </c>
      <c r="C453" s="223">
        <v>9975</v>
      </c>
      <c r="D453" s="223">
        <v>75208</v>
      </c>
      <c r="E453" s="553">
        <v>36.89309</v>
      </c>
    </row>
    <row r="454" spans="1:5" ht="12.75">
      <c r="A454" s="859"/>
      <c r="B454" s="237" t="s">
        <v>584</v>
      </c>
      <c r="C454" s="215">
        <v>2434</v>
      </c>
      <c r="D454" s="215">
        <v>21131</v>
      </c>
      <c r="E454" s="548">
        <v>24.232576</v>
      </c>
    </row>
    <row r="455" spans="1:5" ht="12.75" customHeight="1">
      <c r="A455" s="859"/>
      <c r="B455" s="238" t="s">
        <v>585</v>
      </c>
      <c r="C455" s="212">
        <v>722</v>
      </c>
      <c r="D455" s="212">
        <v>8587</v>
      </c>
      <c r="E455" s="554">
        <v>56.688182</v>
      </c>
    </row>
    <row r="456" spans="1:5" ht="12.75">
      <c r="A456" s="859"/>
      <c r="B456" s="237" t="s">
        <v>586</v>
      </c>
      <c r="C456" s="215">
        <v>11687</v>
      </c>
      <c r="D456" s="215">
        <v>87752</v>
      </c>
      <c r="E456" s="548">
        <v>32.361979</v>
      </c>
    </row>
    <row r="457" spans="1:5" ht="12.75" customHeight="1">
      <c r="A457" s="859"/>
      <c r="B457" s="239" t="s">
        <v>587</v>
      </c>
      <c r="C457" s="226" t="s">
        <v>107</v>
      </c>
      <c r="D457" s="226">
        <v>79424</v>
      </c>
      <c r="E457" s="554">
        <v>35.582583</v>
      </c>
    </row>
    <row r="458" spans="1:5" ht="12.75">
      <c r="A458" s="859"/>
      <c r="B458" s="240" t="s">
        <v>588</v>
      </c>
      <c r="C458" s="215" t="s">
        <v>107</v>
      </c>
      <c r="D458" s="215">
        <v>16915</v>
      </c>
      <c r="E458" s="548">
        <v>28.647547</v>
      </c>
    </row>
    <row r="459" spans="1:5" ht="13.5" thickBot="1">
      <c r="A459" s="860"/>
      <c r="B459" s="242" t="s">
        <v>591</v>
      </c>
      <c r="C459" s="221">
        <v>12409</v>
      </c>
      <c r="D459" s="221">
        <v>96339</v>
      </c>
      <c r="E459" s="555">
        <v>34.421993</v>
      </c>
    </row>
    <row r="460" spans="1:5" ht="12.75" customHeight="1">
      <c r="A460" s="858" t="s">
        <v>643</v>
      </c>
      <c r="B460" s="236" t="s">
        <v>583</v>
      </c>
      <c r="C460" s="223">
        <v>11845</v>
      </c>
      <c r="D460" s="223">
        <v>62270</v>
      </c>
      <c r="E460" s="553">
        <v>31.616347</v>
      </c>
    </row>
    <row r="461" spans="1:5" ht="12.75">
      <c r="A461" s="859"/>
      <c r="B461" s="237" t="s">
        <v>584</v>
      </c>
      <c r="C461" s="215">
        <v>2691</v>
      </c>
      <c r="D461" s="215">
        <v>21404</v>
      </c>
      <c r="E461" s="548">
        <v>23.750667</v>
      </c>
    </row>
    <row r="462" spans="1:5" ht="12.75" customHeight="1">
      <c r="A462" s="859"/>
      <c r="B462" s="238" t="s">
        <v>585</v>
      </c>
      <c r="C462" s="212">
        <v>607</v>
      </c>
      <c r="D462" s="212">
        <v>13980</v>
      </c>
      <c r="E462" s="554">
        <v>55.870057</v>
      </c>
    </row>
    <row r="463" spans="1:5" ht="12.75">
      <c r="A463" s="859"/>
      <c r="B463" s="237" t="s">
        <v>586</v>
      </c>
      <c r="C463" s="215">
        <v>13929</v>
      </c>
      <c r="D463" s="215">
        <v>69694</v>
      </c>
      <c r="E463" s="548">
        <v>24.458837</v>
      </c>
    </row>
    <row r="464" spans="1:5" ht="12.75" customHeight="1">
      <c r="A464" s="859"/>
      <c r="B464" s="239" t="s">
        <v>587</v>
      </c>
      <c r="C464" s="226" t="s">
        <v>107</v>
      </c>
      <c r="D464" s="226">
        <v>66573</v>
      </c>
      <c r="E464" s="554">
        <v>30.373065</v>
      </c>
    </row>
    <row r="465" spans="1:5" ht="12.75">
      <c r="A465" s="859"/>
      <c r="B465" s="240" t="s">
        <v>588</v>
      </c>
      <c r="C465" s="215" t="s">
        <v>107</v>
      </c>
      <c r="D465" s="215">
        <v>17101</v>
      </c>
      <c r="E465" s="548">
        <v>26.912665</v>
      </c>
    </row>
    <row r="466" spans="1:5" ht="13.5" thickBot="1">
      <c r="A466" s="860"/>
      <c r="B466" s="242" t="s">
        <v>591</v>
      </c>
      <c r="C466" s="221">
        <v>14536</v>
      </c>
      <c r="D466" s="221">
        <v>83674</v>
      </c>
      <c r="E466" s="555">
        <v>29.704176</v>
      </c>
    </row>
    <row r="467" spans="1:5" ht="12.75">
      <c r="A467" s="194"/>
      <c r="B467" s="195"/>
      <c r="C467" s="197"/>
      <c r="D467" s="198"/>
      <c r="E467" s="556"/>
    </row>
    <row r="468" spans="1:5" ht="12.75">
      <c r="A468" s="194"/>
      <c r="B468" s="195"/>
      <c r="C468" s="197"/>
      <c r="D468" s="198"/>
      <c r="E468" s="556"/>
    </row>
    <row r="469" spans="1:5" ht="12.75">
      <c r="A469" s="194"/>
      <c r="B469" s="195"/>
      <c r="C469" s="197"/>
      <c r="D469" s="198"/>
      <c r="E469" s="556"/>
    </row>
    <row r="470" spans="1:5" ht="12.75">
      <c r="A470" s="194"/>
      <c r="B470" s="195"/>
      <c r="C470" s="197"/>
      <c r="D470" s="198"/>
      <c r="E470" s="556"/>
    </row>
    <row r="471" spans="1:5" ht="12.75">
      <c r="A471" s="194"/>
      <c r="B471" s="195"/>
      <c r="C471" s="197"/>
      <c r="D471" s="198"/>
      <c r="E471" s="556"/>
    </row>
    <row r="472" spans="1:5" ht="12.75">
      <c r="A472" s="194"/>
      <c r="B472" s="195"/>
      <c r="C472" s="197"/>
      <c r="D472" s="198"/>
      <c r="E472" s="556"/>
    </row>
    <row r="473" spans="1:5" ht="13.5" thickBot="1">
      <c r="A473" s="190"/>
      <c r="B473" s="191"/>
      <c r="C473" s="191"/>
      <c r="D473" s="192"/>
      <c r="E473" s="193"/>
    </row>
    <row r="474" spans="1:5" ht="12.75" customHeight="1">
      <c r="A474" s="861" t="s">
        <v>496</v>
      </c>
      <c r="B474" s="199"/>
      <c r="C474" s="201"/>
      <c r="D474" s="201" t="s">
        <v>501</v>
      </c>
      <c r="E474" s="550" t="s">
        <v>502</v>
      </c>
    </row>
    <row r="475" spans="1:5" ht="12.75">
      <c r="A475" s="862"/>
      <c r="B475" s="202" t="s">
        <v>578</v>
      </c>
      <c r="C475" s="204" t="s">
        <v>504</v>
      </c>
      <c r="D475" s="204" t="s">
        <v>505</v>
      </c>
      <c r="E475" s="551" t="s">
        <v>506</v>
      </c>
    </row>
    <row r="476" spans="1:5" ht="12.75" customHeight="1">
      <c r="A476" s="862"/>
      <c r="B476" s="205" t="s">
        <v>579</v>
      </c>
      <c r="C476" s="207" t="s">
        <v>508</v>
      </c>
      <c r="D476" s="207" t="s">
        <v>509</v>
      </c>
      <c r="E476" s="551" t="s">
        <v>580</v>
      </c>
    </row>
    <row r="477" spans="1:5" ht="13.5" thickBot="1">
      <c r="A477" s="863"/>
      <c r="B477" s="208"/>
      <c r="C477" s="210" t="s">
        <v>510</v>
      </c>
      <c r="D477" s="210" t="s">
        <v>511</v>
      </c>
      <c r="E477" s="557" t="s">
        <v>581</v>
      </c>
    </row>
    <row r="478" spans="1:5" ht="12.75" customHeight="1">
      <c r="A478" s="858" t="s">
        <v>644</v>
      </c>
      <c r="B478" s="236" t="s">
        <v>583</v>
      </c>
      <c r="C478" s="223">
        <v>877</v>
      </c>
      <c r="D478" s="223">
        <v>6386</v>
      </c>
      <c r="E478" s="553">
        <v>35.2434</v>
      </c>
    </row>
    <row r="479" spans="1:5" ht="12.75">
      <c r="A479" s="859"/>
      <c r="B479" s="237" t="s">
        <v>584</v>
      </c>
      <c r="C479" s="215">
        <v>304</v>
      </c>
      <c r="D479" s="215">
        <v>3282</v>
      </c>
      <c r="E479" s="548">
        <v>22.846109</v>
      </c>
    </row>
    <row r="480" spans="1:5" ht="12.75" customHeight="1">
      <c r="A480" s="859"/>
      <c r="B480" s="238" t="s">
        <v>585</v>
      </c>
      <c r="C480" s="212">
        <v>112</v>
      </c>
      <c r="D480" s="212">
        <v>2470</v>
      </c>
      <c r="E480" s="554">
        <v>54.916246</v>
      </c>
    </row>
    <row r="481" spans="1:5" ht="12.75">
      <c r="A481" s="859"/>
      <c r="B481" s="237" t="s">
        <v>586</v>
      </c>
      <c r="C481" s="215">
        <v>1069</v>
      </c>
      <c r="D481" s="215">
        <v>7198</v>
      </c>
      <c r="E481" s="548">
        <v>24.084037</v>
      </c>
    </row>
    <row r="482" spans="1:5" ht="12.75" customHeight="1">
      <c r="A482" s="859"/>
      <c r="B482" s="239" t="s">
        <v>587</v>
      </c>
      <c r="C482" s="226" t="s">
        <v>107</v>
      </c>
      <c r="D482" s="226">
        <v>8617</v>
      </c>
      <c r="E482" s="554">
        <v>31.646293</v>
      </c>
    </row>
    <row r="483" spans="1:5" ht="12.75">
      <c r="A483" s="859"/>
      <c r="B483" s="240" t="s">
        <v>588</v>
      </c>
      <c r="C483" s="215" t="s">
        <v>107</v>
      </c>
      <c r="D483" s="215">
        <v>1051</v>
      </c>
      <c r="E483" s="548">
        <v>30.415762</v>
      </c>
    </row>
    <row r="484" spans="1:5" ht="13.5" thickBot="1">
      <c r="A484" s="860"/>
      <c r="B484" s="242" t="s">
        <v>591</v>
      </c>
      <c r="C484" s="221">
        <v>1181</v>
      </c>
      <c r="D484" s="221">
        <v>9668</v>
      </c>
      <c r="E484" s="555">
        <v>31.543294</v>
      </c>
    </row>
    <row r="485" spans="1:5" ht="12.75" customHeight="1">
      <c r="A485" s="858" t="s">
        <v>645</v>
      </c>
      <c r="B485" s="236" t="s">
        <v>583</v>
      </c>
      <c r="C485" s="223">
        <v>1886</v>
      </c>
      <c r="D485" s="223">
        <v>9704</v>
      </c>
      <c r="E485" s="553">
        <v>28.11897</v>
      </c>
    </row>
    <row r="486" spans="1:5" ht="12.75">
      <c r="A486" s="859"/>
      <c r="B486" s="237" t="s">
        <v>584</v>
      </c>
      <c r="C486" s="215">
        <v>777</v>
      </c>
      <c r="D486" s="215">
        <v>4308</v>
      </c>
      <c r="E486" s="548">
        <v>24.08763</v>
      </c>
    </row>
    <row r="487" spans="1:5" ht="12.75" customHeight="1">
      <c r="A487" s="859"/>
      <c r="B487" s="238" t="s">
        <v>585</v>
      </c>
      <c r="C487" s="212">
        <v>192</v>
      </c>
      <c r="D487" s="212">
        <v>2351</v>
      </c>
      <c r="E487" s="554">
        <v>52.735506</v>
      </c>
    </row>
    <row r="488" spans="1:5" ht="12.75">
      <c r="A488" s="859"/>
      <c r="B488" s="237" t="s">
        <v>586</v>
      </c>
      <c r="C488" s="215">
        <v>2471</v>
      </c>
      <c r="D488" s="215">
        <v>11661</v>
      </c>
      <c r="E488" s="548">
        <v>21.386593</v>
      </c>
    </row>
    <row r="489" spans="1:5" ht="12.75" customHeight="1">
      <c r="A489" s="859"/>
      <c r="B489" s="239" t="s">
        <v>587</v>
      </c>
      <c r="C489" s="226" t="s">
        <v>107</v>
      </c>
      <c r="D489" s="226">
        <v>10957</v>
      </c>
      <c r="E489" s="554">
        <v>27.956272</v>
      </c>
    </row>
    <row r="490" spans="1:5" ht="12.75">
      <c r="A490" s="859"/>
      <c r="B490" s="240" t="s">
        <v>588</v>
      </c>
      <c r="C490" s="215" t="s">
        <v>107</v>
      </c>
      <c r="D490" s="215">
        <v>3055</v>
      </c>
      <c r="E490" s="548">
        <v>23.306638</v>
      </c>
    </row>
    <row r="491" spans="1:5" ht="13.5" thickBot="1">
      <c r="A491" s="860"/>
      <c r="B491" s="242" t="s">
        <v>591</v>
      </c>
      <c r="C491" s="221">
        <v>2663</v>
      </c>
      <c r="D491" s="221">
        <v>14012</v>
      </c>
      <c r="E491" s="555">
        <v>26.972278</v>
      </c>
    </row>
    <row r="492" spans="1:5" ht="12.75" customHeight="1">
      <c r="A492" s="858" t="s">
        <v>646</v>
      </c>
      <c r="B492" s="236" t="s">
        <v>583</v>
      </c>
      <c r="C492" s="223">
        <v>4436</v>
      </c>
      <c r="D492" s="223">
        <v>29370</v>
      </c>
      <c r="E492" s="553">
        <v>36.372152</v>
      </c>
    </row>
    <row r="493" spans="1:5" ht="12.75">
      <c r="A493" s="859"/>
      <c r="B493" s="237" t="s">
        <v>584</v>
      </c>
      <c r="C493" s="215">
        <v>1754</v>
      </c>
      <c r="D493" s="215">
        <v>18200</v>
      </c>
      <c r="E493" s="548">
        <v>22.863641</v>
      </c>
    </row>
    <row r="494" spans="1:5" ht="12.75" customHeight="1">
      <c r="A494" s="859"/>
      <c r="B494" s="238" t="s">
        <v>585</v>
      </c>
      <c r="C494" s="212">
        <v>493</v>
      </c>
      <c r="D494" s="212">
        <v>9645</v>
      </c>
      <c r="E494" s="554">
        <v>59.466761</v>
      </c>
    </row>
    <row r="495" spans="1:5" ht="12.75">
      <c r="A495" s="859"/>
      <c r="B495" s="237" t="s">
        <v>586</v>
      </c>
      <c r="C495" s="215">
        <v>5697</v>
      </c>
      <c r="D495" s="215">
        <v>37925</v>
      </c>
      <c r="E495" s="548">
        <v>24.214177</v>
      </c>
    </row>
    <row r="496" spans="1:5" ht="12.75" customHeight="1">
      <c r="A496" s="859"/>
      <c r="B496" s="239" t="s">
        <v>587</v>
      </c>
      <c r="C496" s="226" t="s">
        <v>107</v>
      </c>
      <c r="D496" s="226">
        <v>42391</v>
      </c>
      <c r="E496" s="554">
        <v>32.330341</v>
      </c>
    </row>
    <row r="497" spans="1:5" ht="12.75">
      <c r="A497" s="859"/>
      <c r="B497" s="240" t="s">
        <v>588</v>
      </c>
      <c r="C497" s="215" t="s">
        <v>107</v>
      </c>
      <c r="D497" s="215">
        <v>5179</v>
      </c>
      <c r="E497" s="548">
        <v>25.884203</v>
      </c>
    </row>
    <row r="498" spans="1:5" ht="13.5" thickBot="1">
      <c r="A498" s="860"/>
      <c r="B498" s="242" t="s">
        <v>591</v>
      </c>
      <c r="C498" s="221">
        <v>6190</v>
      </c>
      <c r="D498" s="221">
        <v>47570</v>
      </c>
      <c r="E498" s="555">
        <v>31.664408</v>
      </c>
    </row>
    <row r="499" spans="1:5" ht="12.75" customHeight="1">
      <c r="A499" s="858" t="s">
        <v>647</v>
      </c>
      <c r="B499" s="236" t="s">
        <v>583</v>
      </c>
      <c r="C499" s="223">
        <v>10563</v>
      </c>
      <c r="D499" s="223">
        <v>140955</v>
      </c>
      <c r="E499" s="553">
        <v>30.740823</v>
      </c>
    </row>
    <row r="500" spans="1:5" ht="12.75">
      <c r="A500" s="859"/>
      <c r="B500" s="237" t="s">
        <v>584</v>
      </c>
      <c r="C500" s="215">
        <v>2275</v>
      </c>
      <c r="D500" s="215">
        <v>18574</v>
      </c>
      <c r="E500" s="548">
        <v>22.618871</v>
      </c>
    </row>
    <row r="501" spans="1:5" ht="12.75" customHeight="1">
      <c r="A501" s="859"/>
      <c r="B501" s="238" t="s">
        <v>585</v>
      </c>
      <c r="C501" s="212">
        <v>266</v>
      </c>
      <c r="D501" s="212">
        <v>4947</v>
      </c>
      <c r="E501" s="554">
        <v>50.009506</v>
      </c>
    </row>
    <row r="502" spans="1:5" ht="12.75">
      <c r="A502" s="859"/>
      <c r="B502" s="237" t="s">
        <v>586</v>
      </c>
      <c r="C502" s="215">
        <v>12572</v>
      </c>
      <c r="D502" s="215">
        <v>154582</v>
      </c>
      <c r="E502" s="548">
        <v>29.306403</v>
      </c>
    </row>
    <row r="503" spans="1:5" ht="12.75" customHeight="1">
      <c r="A503" s="859"/>
      <c r="B503" s="239" t="s">
        <v>587</v>
      </c>
      <c r="C503" s="226" t="s">
        <v>107</v>
      </c>
      <c r="D503" s="226">
        <v>115968</v>
      </c>
      <c r="E503" s="554">
        <v>31.136847</v>
      </c>
    </row>
    <row r="504" spans="1:5" ht="12.75">
      <c r="A504" s="859"/>
      <c r="B504" s="240" t="s">
        <v>588</v>
      </c>
      <c r="C504" s="215" t="s">
        <v>107</v>
      </c>
      <c r="D504" s="215">
        <v>43561</v>
      </c>
      <c r="E504" s="548">
        <v>26.53388</v>
      </c>
    </row>
    <row r="505" spans="1:5" ht="13.5" thickBot="1">
      <c r="A505" s="860"/>
      <c r="B505" s="242" t="s">
        <v>591</v>
      </c>
      <c r="C505" s="221">
        <v>12838</v>
      </c>
      <c r="D505" s="221">
        <v>159529</v>
      </c>
      <c r="E505" s="555">
        <v>29.894658</v>
      </c>
    </row>
    <row r="506" spans="1:5" ht="12.75" customHeight="1">
      <c r="A506" s="858" t="s">
        <v>648</v>
      </c>
      <c r="B506" s="236" t="s">
        <v>583</v>
      </c>
      <c r="C506" s="223">
        <v>4192</v>
      </c>
      <c r="D506" s="223">
        <v>25286</v>
      </c>
      <c r="E506" s="553">
        <v>30.065213</v>
      </c>
    </row>
    <row r="507" spans="1:5" ht="12.75">
      <c r="A507" s="859"/>
      <c r="B507" s="237" t="s">
        <v>584</v>
      </c>
      <c r="C507" s="215">
        <v>1111</v>
      </c>
      <c r="D507" s="215">
        <v>10108</v>
      </c>
      <c r="E507" s="548">
        <v>23.333839</v>
      </c>
    </row>
    <row r="508" spans="1:5" ht="12.75" customHeight="1">
      <c r="A508" s="859"/>
      <c r="B508" s="238" t="s">
        <v>585</v>
      </c>
      <c r="C508" s="212">
        <v>339</v>
      </c>
      <c r="D508" s="212">
        <v>7395</v>
      </c>
      <c r="E508" s="554">
        <v>53.466213</v>
      </c>
    </row>
    <row r="509" spans="1:5" ht="12.75">
      <c r="A509" s="859"/>
      <c r="B509" s="237" t="s">
        <v>586</v>
      </c>
      <c r="C509" s="215">
        <v>4964</v>
      </c>
      <c r="D509" s="215">
        <v>27999</v>
      </c>
      <c r="E509" s="548">
        <v>21.656393</v>
      </c>
    </row>
    <row r="510" spans="1:5" ht="12.75" customHeight="1">
      <c r="A510" s="859"/>
      <c r="B510" s="239" t="s">
        <v>587</v>
      </c>
      <c r="C510" s="226" t="s">
        <v>107</v>
      </c>
      <c r="D510" s="226">
        <v>29705</v>
      </c>
      <c r="E510" s="554">
        <v>28.057413</v>
      </c>
    </row>
    <row r="511" spans="1:5" ht="12.75">
      <c r="A511" s="859"/>
      <c r="B511" s="240" t="s">
        <v>588</v>
      </c>
      <c r="C511" s="215" t="s">
        <v>107</v>
      </c>
      <c r="D511" s="215">
        <v>5689</v>
      </c>
      <c r="E511" s="548">
        <v>29.227816</v>
      </c>
    </row>
    <row r="512" spans="1:5" ht="13.5" thickBot="1">
      <c r="A512" s="860"/>
      <c r="B512" s="242" t="s">
        <v>591</v>
      </c>
      <c r="C512" s="221">
        <v>5303</v>
      </c>
      <c r="D512" s="221">
        <v>35394</v>
      </c>
      <c r="E512" s="555">
        <v>28.231782</v>
      </c>
    </row>
    <row r="513" spans="1:5" ht="12.75" customHeight="1">
      <c r="A513" s="858" t="s">
        <v>649</v>
      </c>
      <c r="B513" s="236" t="s">
        <v>583</v>
      </c>
      <c r="C513" s="223">
        <v>9398</v>
      </c>
      <c r="D513" s="223">
        <v>47711</v>
      </c>
      <c r="E513" s="553">
        <v>30.732683</v>
      </c>
    </row>
    <row r="514" spans="1:5" ht="12.75">
      <c r="A514" s="859"/>
      <c r="B514" s="237" t="s">
        <v>584</v>
      </c>
      <c r="C514" s="215">
        <v>2927</v>
      </c>
      <c r="D514" s="215">
        <v>23393</v>
      </c>
      <c r="E514" s="548">
        <v>24.090234</v>
      </c>
    </row>
    <row r="515" spans="1:5" ht="12.75" customHeight="1">
      <c r="A515" s="859"/>
      <c r="B515" s="238" t="s">
        <v>585</v>
      </c>
      <c r="C515" s="212">
        <v>532</v>
      </c>
      <c r="D515" s="212">
        <v>10429</v>
      </c>
      <c r="E515" s="554">
        <v>55.608975</v>
      </c>
    </row>
    <row r="516" spans="1:5" ht="12.75">
      <c r="A516" s="859"/>
      <c r="B516" s="237" t="s">
        <v>586</v>
      </c>
      <c r="C516" s="215">
        <v>11793</v>
      </c>
      <c r="D516" s="215">
        <v>60675</v>
      </c>
      <c r="E516" s="548">
        <v>24.035287</v>
      </c>
    </row>
    <row r="517" spans="1:5" ht="12.75" customHeight="1">
      <c r="A517" s="859"/>
      <c r="B517" s="239" t="s">
        <v>587</v>
      </c>
      <c r="C517" s="226" t="s">
        <v>107</v>
      </c>
      <c r="D517" s="226">
        <v>58649</v>
      </c>
      <c r="E517" s="554">
        <v>29.330025</v>
      </c>
    </row>
    <row r="518" spans="1:5" ht="12.75">
      <c r="A518" s="859"/>
      <c r="B518" s="240" t="s">
        <v>588</v>
      </c>
      <c r="C518" s="215" t="s">
        <v>107</v>
      </c>
      <c r="D518" s="215">
        <v>12455</v>
      </c>
      <c r="E518" s="548">
        <v>26.247693</v>
      </c>
    </row>
    <row r="519" spans="1:5" ht="13.5" thickBot="1">
      <c r="A519" s="860"/>
      <c r="B519" s="242" t="s">
        <v>591</v>
      </c>
      <c r="C519" s="221">
        <v>12325</v>
      </c>
      <c r="D519" s="221">
        <v>71104</v>
      </c>
      <c r="E519" s="555">
        <v>28.798019</v>
      </c>
    </row>
    <row r="520" spans="1:5" ht="12.75" customHeight="1">
      <c r="A520" s="858" t="s">
        <v>650</v>
      </c>
      <c r="B520" s="236" t="s">
        <v>583</v>
      </c>
      <c r="C520" s="223">
        <v>383</v>
      </c>
      <c r="D520" s="223">
        <v>2315</v>
      </c>
      <c r="E520" s="553">
        <v>40.622393</v>
      </c>
    </row>
    <row r="521" spans="1:5" ht="12.75">
      <c r="A521" s="859"/>
      <c r="B521" s="237" t="s">
        <v>584</v>
      </c>
      <c r="C521" s="215">
        <v>217</v>
      </c>
      <c r="D521" s="215">
        <v>1390</v>
      </c>
      <c r="E521" s="548">
        <v>21.831738</v>
      </c>
    </row>
    <row r="522" spans="1:5" ht="12.75" customHeight="1">
      <c r="A522" s="859"/>
      <c r="B522" s="238" t="s">
        <v>585</v>
      </c>
      <c r="C522" s="212">
        <v>88</v>
      </c>
      <c r="D522" s="212">
        <v>1172</v>
      </c>
      <c r="E522" s="554">
        <v>55.519884</v>
      </c>
    </row>
    <row r="523" spans="1:5" ht="12.75">
      <c r="A523" s="859"/>
      <c r="B523" s="237" t="s">
        <v>586</v>
      </c>
      <c r="C523" s="215">
        <v>512</v>
      </c>
      <c r="D523" s="215">
        <v>2533</v>
      </c>
      <c r="E523" s="548">
        <v>23.549384</v>
      </c>
    </row>
    <row r="524" spans="1:5" ht="12.75" customHeight="1">
      <c r="A524" s="859"/>
      <c r="B524" s="239" t="s">
        <v>587</v>
      </c>
      <c r="C524" s="226" t="s">
        <v>107</v>
      </c>
      <c r="D524" s="226">
        <v>3099</v>
      </c>
      <c r="E524" s="554">
        <v>35.065647</v>
      </c>
    </row>
    <row r="525" spans="1:5" ht="12.75">
      <c r="A525" s="859"/>
      <c r="B525" s="240" t="s">
        <v>588</v>
      </c>
      <c r="C525" s="215" t="s">
        <v>107</v>
      </c>
      <c r="D525" s="215">
        <v>606</v>
      </c>
      <c r="E525" s="548">
        <v>31.117922</v>
      </c>
    </row>
    <row r="526" spans="1:5" ht="13.5" thickBot="1">
      <c r="A526" s="860"/>
      <c r="B526" s="242" t="s">
        <v>591</v>
      </c>
      <c r="C526" s="221">
        <v>600</v>
      </c>
      <c r="D526" s="221">
        <v>3705</v>
      </c>
      <c r="E526" s="555">
        <v>34.439704</v>
      </c>
    </row>
    <row r="527" spans="1:5" ht="12.75">
      <c r="A527" s="194"/>
      <c r="B527" s="195"/>
      <c r="C527" s="197"/>
      <c r="D527" s="198"/>
      <c r="E527" s="556"/>
    </row>
    <row r="528" spans="1:5" ht="12.75">
      <c r="A528" s="194"/>
      <c r="B528" s="195"/>
      <c r="C528" s="197"/>
      <c r="D528" s="198"/>
      <c r="E528" s="556"/>
    </row>
    <row r="529" spans="1:5" ht="12.75">
      <c r="A529" s="190"/>
      <c r="B529" s="191"/>
      <c r="C529" s="191"/>
      <c r="D529" s="192"/>
      <c r="E529" s="193"/>
    </row>
    <row r="530" spans="1:5" ht="12.75">
      <c r="A530" s="190"/>
      <c r="B530" s="191"/>
      <c r="C530" s="191"/>
      <c r="D530" s="192"/>
      <c r="E530" s="193"/>
    </row>
    <row r="531" spans="1:5" ht="12.75">
      <c r="A531" s="190"/>
      <c r="B531" s="191"/>
      <c r="C531" s="191"/>
      <c r="D531" s="192"/>
      <c r="E531" s="193"/>
    </row>
    <row r="532" spans="1:5" ht="13.5" thickBot="1">
      <c r="A532" s="190"/>
      <c r="B532" s="191"/>
      <c r="C532" s="191"/>
      <c r="D532" s="192"/>
      <c r="E532" s="193"/>
    </row>
    <row r="533" spans="1:5" ht="12.75" customHeight="1">
      <c r="A533" s="861" t="s">
        <v>496</v>
      </c>
      <c r="B533" s="199"/>
      <c r="C533" s="201"/>
      <c r="D533" s="201" t="s">
        <v>501</v>
      </c>
      <c r="E533" s="550" t="s">
        <v>502</v>
      </c>
    </row>
    <row r="534" spans="1:5" ht="12.75">
      <c r="A534" s="862"/>
      <c r="B534" s="202" t="s">
        <v>578</v>
      </c>
      <c r="C534" s="204" t="s">
        <v>504</v>
      </c>
      <c r="D534" s="204" t="s">
        <v>505</v>
      </c>
      <c r="E534" s="551" t="s">
        <v>506</v>
      </c>
    </row>
    <row r="535" spans="1:5" ht="12.75" customHeight="1">
      <c r="A535" s="862"/>
      <c r="B535" s="205" t="s">
        <v>579</v>
      </c>
      <c r="C535" s="207" t="s">
        <v>508</v>
      </c>
      <c r="D535" s="207" t="s">
        <v>509</v>
      </c>
      <c r="E535" s="551" t="s">
        <v>580</v>
      </c>
    </row>
    <row r="536" spans="1:5" ht="13.5" thickBot="1">
      <c r="A536" s="863"/>
      <c r="B536" s="208"/>
      <c r="C536" s="210" t="s">
        <v>510</v>
      </c>
      <c r="D536" s="210" t="s">
        <v>511</v>
      </c>
      <c r="E536" s="557" t="s">
        <v>581</v>
      </c>
    </row>
    <row r="537" spans="1:5" ht="12.75" customHeight="1">
      <c r="A537" s="858" t="s">
        <v>651</v>
      </c>
      <c r="B537" s="236" t="s">
        <v>583</v>
      </c>
      <c r="C537" s="223">
        <v>3530</v>
      </c>
      <c r="D537" s="223">
        <v>30084</v>
      </c>
      <c r="E537" s="553">
        <v>32.237464</v>
      </c>
    </row>
    <row r="538" spans="1:5" ht="12.75">
      <c r="A538" s="859"/>
      <c r="B538" s="237" t="s">
        <v>584</v>
      </c>
      <c r="C538" s="215">
        <v>1446</v>
      </c>
      <c r="D538" s="215">
        <v>15214</v>
      </c>
      <c r="E538" s="548">
        <v>21.916571</v>
      </c>
    </row>
    <row r="539" spans="1:5" ht="12.75" customHeight="1">
      <c r="A539" s="859"/>
      <c r="B539" s="238" t="s">
        <v>585</v>
      </c>
      <c r="C539" s="212">
        <v>313</v>
      </c>
      <c r="D539" s="212">
        <v>11181</v>
      </c>
      <c r="E539" s="554">
        <v>50.640956</v>
      </c>
    </row>
    <row r="540" spans="1:5" ht="12.75">
      <c r="A540" s="859"/>
      <c r="B540" s="237" t="s">
        <v>586</v>
      </c>
      <c r="C540" s="215">
        <v>4663</v>
      </c>
      <c r="D540" s="215">
        <v>34117</v>
      </c>
      <c r="E540" s="548">
        <v>22.325123</v>
      </c>
    </row>
    <row r="541" spans="1:5" ht="12.75" customHeight="1">
      <c r="A541" s="859"/>
      <c r="B541" s="239" t="s">
        <v>587</v>
      </c>
      <c r="C541" s="226" t="s">
        <v>107</v>
      </c>
      <c r="D541" s="226">
        <v>40810</v>
      </c>
      <c r="E541" s="554">
        <v>28.847443</v>
      </c>
    </row>
    <row r="542" spans="1:5" ht="12.75">
      <c r="A542" s="859"/>
      <c r="B542" s="240" t="s">
        <v>588</v>
      </c>
      <c r="C542" s="215" t="s">
        <v>107</v>
      </c>
      <c r="D542" s="215">
        <v>4488</v>
      </c>
      <c r="E542" s="548">
        <v>29.408386</v>
      </c>
    </row>
    <row r="543" spans="1:5" ht="13.5" thickBot="1">
      <c r="A543" s="860"/>
      <c r="B543" s="242" t="s">
        <v>591</v>
      </c>
      <c r="C543" s="221">
        <v>4976</v>
      </c>
      <c r="D543" s="221">
        <v>45298</v>
      </c>
      <c r="E543" s="555">
        <v>28.892974</v>
      </c>
    </row>
    <row r="544" spans="1:5" ht="12.75" customHeight="1">
      <c r="A544" s="858" t="s">
        <v>652</v>
      </c>
      <c r="B544" s="236" t="s">
        <v>583</v>
      </c>
      <c r="C544" s="223">
        <v>4655</v>
      </c>
      <c r="D544" s="223">
        <v>32053</v>
      </c>
      <c r="E544" s="553">
        <v>24.270943</v>
      </c>
    </row>
    <row r="545" spans="1:5" ht="12.75">
      <c r="A545" s="859"/>
      <c r="B545" s="237" t="s">
        <v>584</v>
      </c>
      <c r="C545" s="215">
        <v>1066</v>
      </c>
      <c r="D545" s="215">
        <v>5747</v>
      </c>
      <c r="E545" s="548">
        <v>21.150415</v>
      </c>
    </row>
    <row r="546" spans="1:5" ht="12.75" customHeight="1">
      <c r="A546" s="859"/>
      <c r="B546" s="238" t="s">
        <v>585</v>
      </c>
      <c r="C546" s="212">
        <v>224</v>
      </c>
      <c r="D546" s="212">
        <v>2303</v>
      </c>
      <c r="E546" s="554">
        <v>53.021307</v>
      </c>
    </row>
    <row r="547" spans="1:5" ht="12.75">
      <c r="A547" s="859"/>
      <c r="B547" s="237" t="s">
        <v>586</v>
      </c>
      <c r="C547" s="215">
        <v>5497</v>
      </c>
      <c r="D547" s="215">
        <v>35497</v>
      </c>
      <c r="E547" s="548">
        <v>22.004973</v>
      </c>
    </row>
    <row r="548" spans="1:5" ht="12.75" customHeight="1">
      <c r="A548" s="859"/>
      <c r="B548" s="239" t="s">
        <v>587</v>
      </c>
      <c r="C548" s="226" t="s">
        <v>107</v>
      </c>
      <c r="D548" s="226">
        <v>29756</v>
      </c>
      <c r="E548" s="554">
        <v>24.243655</v>
      </c>
    </row>
    <row r="549" spans="1:5" ht="12.75">
      <c r="A549" s="859"/>
      <c r="B549" s="240" t="s">
        <v>588</v>
      </c>
      <c r="C549" s="215" t="s">
        <v>107</v>
      </c>
      <c r="D549" s="215">
        <v>8044</v>
      </c>
      <c r="E549" s="548">
        <v>22.271226</v>
      </c>
    </row>
    <row r="550" spans="1:5" ht="13.5" thickBot="1">
      <c r="A550" s="860"/>
      <c r="B550" s="242" t="s">
        <v>591</v>
      </c>
      <c r="C550" s="221">
        <v>5721</v>
      </c>
      <c r="D550" s="221">
        <v>37800</v>
      </c>
      <c r="E550" s="555">
        <v>23.836748</v>
      </c>
    </row>
    <row r="551" spans="1:5" ht="12.75" customHeight="1">
      <c r="A551" s="858" t="s">
        <v>653</v>
      </c>
      <c r="B551" s="236" t="s">
        <v>583</v>
      </c>
      <c r="C551" s="223">
        <v>2493</v>
      </c>
      <c r="D551" s="223">
        <v>18059</v>
      </c>
      <c r="E551" s="553">
        <v>36.104752</v>
      </c>
    </row>
    <row r="552" spans="1:5" ht="12.75">
      <c r="A552" s="859"/>
      <c r="B552" s="237" t="s">
        <v>584</v>
      </c>
      <c r="C552" s="215">
        <v>975</v>
      </c>
      <c r="D552" s="215">
        <v>10066</v>
      </c>
      <c r="E552" s="548">
        <v>24.445185</v>
      </c>
    </row>
    <row r="553" spans="1:5" ht="12.75" customHeight="1">
      <c r="A553" s="859"/>
      <c r="B553" s="238" t="s">
        <v>585</v>
      </c>
      <c r="C553" s="212">
        <v>235</v>
      </c>
      <c r="D553" s="212">
        <v>8188</v>
      </c>
      <c r="E553" s="554">
        <v>56.698304</v>
      </c>
    </row>
    <row r="554" spans="1:5" ht="12.75">
      <c r="A554" s="859"/>
      <c r="B554" s="237" t="s">
        <v>586</v>
      </c>
      <c r="C554" s="215">
        <v>3233</v>
      </c>
      <c r="D554" s="215">
        <v>19937</v>
      </c>
      <c r="E554" s="548">
        <v>22.730247</v>
      </c>
    </row>
    <row r="555" spans="1:5" ht="12.75" customHeight="1">
      <c r="A555" s="859"/>
      <c r="B555" s="239" t="s">
        <v>587</v>
      </c>
      <c r="C555" s="226" t="s">
        <v>107</v>
      </c>
      <c r="D555" s="226">
        <v>24792</v>
      </c>
      <c r="E555" s="554">
        <v>32.113576</v>
      </c>
    </row>
    <row r="556" spans="1:5" ht="12.75">
      <c r="A556" s="859"/>
      <c r="B556" s="240" t="s">
        <v>588</v>
      </c>
      <c r="C556" s="215" t="s">
        <v>107</v>
      </c>
      <c r="D556" s="215">
        <v>3333</v>
      </c>
      <c r="E556" s="548">
        <v>33.287246</v>
      </c>
    </row>
    <row r="557" spans="1:5" ht="13.5" thickBot="1">
      <c r="A557" s="860"/>
      <c r="B557" s="242" t="s">
        <v>591</v>
      </c>
      <c r="C557" s="221">
        <v>3468</v>
      </c>
      <c r="D557" s="221">
        <v>28125</v>
      </c>
      <c r="E557" s="555">
        <v>32.232174</v>
      </c>
    </row>
    <row r="558" spans="1:5" ht="12.75" customHeight="1">
      <c r="A558" s="858" t="s">
        <v>654</v>
      </c>
      <c r="B558" s="236" t="s">
        <v>583</v>
      </c>
      <c r="C558" s="223">
        <v>2820</v>
      </c>
      <c r="D558" s="223">
        <v>17779</v>
      </c>
      <c r="E558" s="553">
        <v>30.867795</v>
      </c>
    </row>
    <row r="559" spans="1:5" ht="12.75">
      <c r="A559" s="859"/>
      <c r="B559" s="237" t="s">
        <v>584</v>
      </c>
      <c r="C559" s="215">
        <v>866</v>
      </c>
      <c r="D559" s="215">
        <v>5935</v>
      </c>
      <c r="E559" s="548">
        <v>23.043131</v>
      </c>
    </row>
    <row r="560" spans="1:5" ht="12.75" customHeight="1">
      <c r="A560" s="859"/>
      <c r="B560" s="238" t="s">
        <v>585</v>
      </c>
      <c r="C560" s="212">
        <v>302</v>
      </c>
      <c r="D560" s="212">
        <v>5060</v>
      </c>
      <c r="E560" s="554">
        <v>50.822834</v>
      </c>
    </row>
    <row r="561" spans="1:5" ht="12.75">
      <c r="A561" s="859"/>
      <c r="B561" s="237" t="s">
        <v>586</v>
      </c>
      <c r="C561" s="215">
        <v>3384</v>
      </c>
      <c r="D561" s="215">
        <v>18654</v>
      </c>
      <c r="E561" s="548">
        <v>24.060851</v>
      </c>
    </row>
    <row r="562" spans="1:5" ht="12.75" customHeight="1">
      <c r="A562" s="859"/>
      <c r="B562" s="239" t="s">
        <v>587</v>
      </c>
      <c r="C562" s="226" t="s">
        <v>107</v>
      </c>
      <c r="D562" s="226">
        <v>20880</v>
      </c>
      <c r="E562" s="554">
        <v>29.184267</v>
      </c>
    </row>
    <row r="563" spans="1:5" ht="12.75">
      <c r="A563" s="859"/>
      <c r="B563" s="240" t="s">
        <v>588</v>
      </c>
      <c r="C563" s="215" t="s">
        <v>107</v>
      </c>
      <c r="D563" s="215">
        <v>2834</v>
      </c>
      <c r="E563" s="548">
        <v>28.213227</v>
      </c>
    </row>
    <row r="564" spans="1:5" ht="13.5" thickBot="1">
      <c r="A564" s="860"/>
      <c r="B564" s="242" t="s">
        <v>591</v>
      </c>
      <c r="C564" s="221">
        <v>3686</v>
      </c>
      <c r="D564" s="221">
        <v>23714</v>
      </c>
      <c r="E564" s="555">
        <v>29.079768</v>
      </c>
    </row>
    <row r="565" spans="1:5" ht="12.75" customHeight="1">
      <c r="A565" s="858" t="s">
        <v>655</v>
      </c>
      <c r="B565" s="236" t="s">
        <v>583</v>
      </c>
      <c r="C565" s="223">
        <v>6931</v>
      </c>
      <c r="D565" s="223">
        <v>56787</v>
      </c>
      <c r="E565" s="553">
        <v>45.328798</v>
      </c>
    </row>
    <row r="566" spans="1:5" ht="12.75">
      <c r="A566" s="859"/>
      <c r="B566" s="237" t="s">
        <v>584</v>
      </c>
      <c r="C566" s="215">
        <v>1326</v>
      </c>
      <c r="D566" s="215">
        <v>12174</v>
      </c>
      <c r="E566" s="548">
        <v>20.801999</v>
      </c>
    </row>
    <row r="567" spans="1:5" ht="12.75" customHeight="1">
      <c r="A567" s="859"/>
      <c r="B567" s="238" t="s">
        <v>585</v>
      </c>
      <c r="C567" s="212">
        <v>367</v>
      </c>
      <c r="D567" s="212">
        <v>22441</v>
      </c>
      <c r="E567" s="554">
        <v>77.954918</v>
      </c>
    </row>
    <row r="568" spans="1:5" ht="12.75">
      <c r="A568" s="859"/>
      <c r="B568" s="237" t="s">
        <v>586</v>
      </c>
      <c r="C568" s="215">
        <v>7890</v>
      </c>
      <c r="D568" s="215">
        <v>46520</v>
      </c>
      <c r="E568" s="548">
        <v>22.26472</v>
      </c>
    </row>
    <row r="569" spans="1:5" ht="12.75" customHeight="1">
      <c r="A569" s="859"/>
      <c r="B569" s="239" t="s">
        <v>587</v>
      </c>
      <c r="C569" s="226" t="s">
        <v>107</v>
      </c>
      <c r="D569" s="226">
        <v>60069</v>
      </c>
      <c r="E569" s="554">
        <v>42.919863</v>
      </c>
    </row>
    <row r="570" spans="1:5" ht="12.75">
      <c r="A570" s="859"/>
      <c r="B570" s="240" t="s">
        <v>588</v>
      </c>
      <c r="C570" s="215" t="s">
        <v>107</v>
      </c>
      <c r="D570" s="215">
        <v>8892</v>
      </c>
      <c r="E570" s="548">
        <v>29.198294</v>
      </c>
    </row>
    <row r="571" spans="1:5" ht="13.5" thickBot="1">
      <c r="A571" s="860"/>
      <c r="B571" s="242" t="s">
        <v>591</v>
      </c>
      <c r="C571" s="221">
        <v>8257</v>
      </c>
      <c r="D571" s="221">
        <v>68961</v>
      </c>
      <c r="E571" s="555">
        <v>41.233135</v>
      </c>
    </row>
    <row r="572" spans="1:5" ht="12.75" customHeight="1">
      <c r="A572" s="858" t="s">
        <v>656</v>
      </c>
      <c r="B572" s="236" t="s">
        <v>583</v>
      </c>
      <c r="C572" s="223">
        <v>2596</v>
      </c>
      <c r="D572" s="223">
        <v>16933</v>
      </c>
      <c r="E572" s="553">
        <v>29.163962</v>
      </c>
    </row>
    <row r="573" spans="1:5" ht="12.75">
      <c r="A573" s="859"/>
      <c r="B573" s="237" t="s">
        <v>584</v>
      </c>
      <c r="C573" s="215">
        <v>796</v>
      </c>
      <c r="D573" s="215">
        <v>5914</v>
      </c>
      <c r="E573" s="548">
        <v>22.494059</v>
      </c>
    </row>
    <row r="574" spans="1:5" ht="12.75" customHeight="1">
      <c r="A574" s="859"/>
      <c r="B574" s="238" t="s">
        <v>585</v>
      </c>
      <c r="C574" s="212">
        <v>131</v>
      </c>
      <c r="D574" s="212">
        <v>2177</v>
      </c>
      <c r="E574" s="554">
        <v>48.498991</v>
      </c>
    </row>
    <row r="575" spans="1:5" ht="12.75">
      <c r="A575" s="859"/>
      <c r="B575" s="237" t="s">
        <v>586</v>
      </c>
      <c r="C575" s="215">
        <v>3261</v>
      </c>
      <c r="D575" s="215">
        <v>20670</v>
      </c>
      <c r="E575" s="548">
        <v>25.370094</v>
      </c>
    </row>
    <row r="576" spans="1:5" ht="12.75" customHeight="1">
      <c r="A576" s="859"/>
      <c r="B576" s="239" t="s">
        <v>587</v>
      </c>
      <c r="C576" s="226" t="s">
        <v>107</v>
      </c>
      <c r="D576" s="226">
        <v>19869</v>
      </c>
      <c r="E576" s="554">
        <v>27.944617</v>
      </c>
    </row>
    <row r="577" spans="1:5" ht="12.75">
      <c r="A577" s="859"/>
      <c r="B577" s="240" t="s">
        <v>588</v>
      </c>
      <c r="C577" s="215" t="s">
        <v>107</v>
      </c>
      <c r="D577" s="215">
        <v>2978</v>
      </c>
      <c r="E577" s="548">
        <v>25.22908</v>
      </c>
    </row>
    <row r="578" spans="1:5" ht="13.5" thickBot="1">
      <c r="A578" s="860"/>
      <c r="B578" s="242" t="s">
        <v>591</v>
      </c>
      <c r="C578" s="221">
        <v>3392</v>
      </c>
      <c r="D578" s="221">
        <v>22847</v>
      </c>
      <c r="E578" s="555">
        <v>27.612554</v>
      </c>
    </row>
    <row r="579" spans="1:5" ht="12.75" customHeight="1">
      <c r="A579" s="858" t="s">
        <v>657</v>
      </c>
      <c r="B579" s="236" t="s">
        <v>583</v>
      </c>
      <c r="C579" s="223">
        <v>552</v>
      </c>
      <c r="D579" s="223">
        <v>2435</v>
      </c>
      <c r="E579" s="553">
        <v>30.764247</v>
      </c>
    </row>
    <row r="580" spans="1:5" ht="12.75">
      <c r="A580" s="859"/>
      <c r="B580" s="237" t="s">
        <v>584</v>
      </c>
      <c r="C580" s="215">
        <v>238</v>
      </c>
      <c r="D580" s="215">
        <v>2227</v>
      </c>
      <c r="E580" s="548">
        <v>23.484886</v>
      </c>
    </row>
    <row r="581" spans="1:5" ht="12.75" customHeight="1">
      <c r="A581" s="859"/>
      <c r="B581" s="238" t="s">
        <v>585</v>
      </c>
      <c r="C581" s="212">
        <v>57</v>
      </c>
      <c r="D581" s="212">
        <v>867</v>
      </c>
      <c r="E581" s="554">
        <v>56.644162</v>
      </c>
    </row>
    <row r="582" spans="1:5" ht="12.75">
      <c r="A582" s="859"/>
      <c r="B582" s="237" t="s">
        <v>586</v>
      </c>
      <c r="C582" s="215">
        <v>733</v>
      </c>
      <c r="D582" s="215">
        <v>3795</v>
      </c>
      <c r="E582" s="548">
        <v>21.071371</v>
      </c>
    </row>
    <row r="583" spans="1:5" ht="12.75" customHeight="1">
      <c r="A583" s="859"/>
      <c r="B583" s="239" t="s">
        <v>587</v>
      </c>
      <c r="C583" s="226" t="s">
        <v>107</v>
      </c>
      <c r="D583" s="226">
        <v>4294</v>
      </c>
      <c r="E583" s="554">
        <v>27.574918</v>
      </c>
    </row>
    <row r="584" spans="1:5" ht="12.75">
      <c r="A584" s="859"/>
      <c r="B584" s="240" t="s">
        <v>588</v>
      </c>
      <c r="C584" s="215" t="s">
        <v>107</v>
      </c>
      <c r="D584" s="215">
        <v>368</v>
      </c>
      <c r="E584" s="548">
        <v>28.392698</v>
      </c>
    </row>
    <row r="585" spans="1:5" ht="13.5" thickBot="1">
      <c r="A585" s="860"/>
      <c r="B585" s="242" t="s">
        <v>591</v>
      </c>
      <c r="C585" s="221">
        <v>790</v>
      </c>
      <c r="D585" s="221">
        <v>4662</v>
      </c>
      <c r="E585" s="555">
        <v>27.626647</v>
      </c>
    </row>
    <row r="586" spans="1:5" ht="12.75">
      <c r="A586" s="194"/>
      <c r="B586" s="195"/>
      <c r="C586" s="197"/>
      <c r="D586" s="198"/>
      <c r="E586" s="556"/>
    </row>
    <row r="587" spans="1:5" ht="12.75">
      <c r="A587" s="194"/>
      <c r="B587" s="195"/>
      <c r="C587" s="197"/>
      <c r="D587" s="198"/>
      <c r="E587" s="556"/>
    </row>
    <row r="588" spans="1:5" ht="12.75">
      <c r="A588" s="194"/>
      <c r="B588" s="195"/>
      <c r="C588" s="197"/>
      <c r="D588" s="198"/>
      <c r="E588" s="556"/>
    </row>
    <row r="589" spans="1:5" ht="12.75">
      <c r="A589" s="194"/>
      <c r="B589" s="195"/>
      <c r="C589" s="197"/>
      <c r="D589" s="198"/>
      <c r="E589" s="556"/>
    </row>
    <row r="590" spans="1:5" ht="12.75">
      <c r="A590" s="194"/>
      <c r="B590" s="195"/>
      <c r="C590" s="197"/>
      <c r="D590" s="198"/>
      <c r="E590" s="556"/>
    </row>
    <row r="591" spans="1:5" ht="12.75">
      <c r="A591" s="194"/>
      <c r="B591" s="195"/>
      <c r="C591" s="197"/>
      <c r="D591" s="198"/>
      <c r="E591" s="556"/>
    </row>
    <row r="592" spans="1:5" ht="12.75">
      <c r="A592" s="194"/>
      <c r="B592" s="195"/>
      <c r="C592" s="197"/>
      <c r="D592" s="198"/>
      <c r="E592" s="556"/>
    </row>
    <row r="593" spans="1:5" ht="13.5" thickBot="1">
      <c r="A593" s="190"/>
      <c r="B593" s="191"/>
      <c r="C593" s="191"/>
      <c r="D593" s="192"/>
      <c r="E593" s="193" t="s">
        <v>107</v>
      </c>
    </row>
    <row r="594" spans="1:5" ht="12.75" customHeight="1">
      <c r="A594" s="861" t="s">
        <v>496</v>
      </c>
      <c r="B594" s="199"/>
      <c r="C594" s="201"/>
      <c r="D594" s="201" t="s">
        <v>501</v>
      </c>
      <c r="E594" s="550" t="s">
        <v>502</v>
      </c>
    </row>
    <row r="595" spans="1:5" ht="12.75">
      <c r="A595" s="862"/>
      <c r="B595" s="202" t="s">
        <v>578</v>
      </c>
      <c r="C595" s="204" t="s">
        <v>504</v>
      </c>
      <c r="D595" s="204" t="s">
        <v>505</v>
      </c>
      <c r="E595" s="551" t="s">
        <v>506</v>
      </c>
    </row>
    <row r="596" spans="1:5" ht="12.75" customHeight="1">
      <c r="A596" s="862"/>
      <c r="B596" s="205" t="s">
        <v>579</v>
      </c>
      <c r="C596" s="207" t="s">
        <v>508</v>
      </c>
      <c r="D596" s="207" t="s">
        <v>509</v>
      </c>
      <c r="E596" s="551" t="s">
        <v>580</v>
      </c>
    </row>
    <row r="597" spans="1:5" ht="13.5" thickBot="1">
      <c r="A597" s="863"/>
      <c r="B597" s="208"/>
      <c r="C597" s="210" t="s">
        <v>510</v>
      </c>
      <c r="D597" s="210" t="s">
        <v>511</v>
      </c>
      <c r="E597" s="557" t="s">
        <v>581</v>
      </c>
    </row>
    <row r="598" spans="1:5" ht="12.75" customHeight="1">
      <c r="A598" s="858" t="s">
        <v>658</v>
      </c>
      <c r="B598" s="236" t="s">
        <v>583</v>
      </c>
      <c r="C598" s="223">
        <v>1740</v>
      </c>
      <c r="D598" s="223">
        <v>17207</v>
      </c>
      <c r="E598" s="553">
        <v>26.014383</v>
      </c>
    </row>
    <row r="599" spans="1:5" ht="12.75">
      <c r="A599" s="859"/>
      <c r="B599" s="237" t="s">
        <v>584</v>
      </c>
      <c r="C599" s="215">
        <v>610</v>
      </c>
      <c r="D599" s="215">
        <v>4863</v>
      </c>
      <c r="E599" s="548">
        <v>30.183128</v>
      </c>
    </row>
    <row r="600" spans="1:5" ht="12.75" customHeight="1">
      <c r="A600" s="859"/>
      <c r="B600" s="238" t="s">
        <v>585</v>
      </c>
      <c r="C600" s="212">
        <v>138</v>
      </c>
      <c r="D600" s="212">
        <v>2056</v>
      </c>
      <c r="E600" s="554">
        <v>50.569752</v>
      </c>
    </row>
    <row r="601" spans="1:5" ht="12.75">
      <c r="A601" s="859"/>
      <c r="B601" s="237" t="s">
        <v>586</v>
      </c>
      <c r="C601" s="215">
        <v>2212</v>
      </c>
      <c r="D601" s="215">
        <v>20014</v>
      </c>
      <c r="E601" s="548">
        <v>24.524892</v>
      </c>
    </row>
    <row r="602" spans="1:5" ht="12.75" customHeight="1">
      <c r="A602" s="859"/>
      <c r="B602" s="239" t="s">
        <v>587</v>
      </c>
      <c r="C602" s="226" t="s">
        <v>107</v>
      </c>
      <c r="D602" s="226">
        <v>16924</v>
      </c>
      <c r="E602" s="554">
        <v>27.669746</v>
      </c>
    </row>
    <row r="603" spans="1:5" ht="12.75">
      <c r="A603" s="859"/>
      <c r="B603" s="240" t="s">
        <v>588</v>
      </c>
      <c r="C603" s="215" t="s">
        <v>107</v>
      </c>
      <c r="D603" s="215">
        <v>5146</v>
      </c>
      <c r="E603" s="548">
        <v>24.163444</v>
      </c>
    </row>
    <row r="604" spans="1:5" ht="13.5" thickBot="1">
      <c r="A604" s="860"/>
      <c r="B604" s="242" t="s">
        <v>591</v>
      </c>
      <c r="C604" s="221">
        <v>2350</v>
      </c>
      <c r="D604" s="221">
        <v>22070</v>
      </c>
      <c r="E604" s="555">
        <v>26.877097</v>
      </c>
    </row>
    <row r="605" spans="1:5" ht="12.75" customHeight="1">
      <c r="A605" s="858" t="s">
        <v>659</v>
      </c>
      <c r="B605" s="236" t="s">
        <v>583</v>
      </c>
      <c r="C605" s="223">
        <v>2381</v>
      </c>
      <c r="D605" s="223">
        <v>14174</v>
      </c>
      <c r="E605" s="553">
        <v>40.146388</v>
      </c>
    </row>
    <row r="606" spans="1:5" ht="12.75">
      <c r="A606" s="859"/>
      <c r="B606" s="237" t="s">
        <v>584</v>
      </c>
      <c r="C606" s="215">
        <v>575</v>
      </c>
      <c r="D606" s="215">
        <v>7315</v>
      </c>
      <c r="E606" s="548">
        <v>22.337661</v>
      </c>
    </row>
    <row r="607" spans="1:5" ht="12.75" customHeight="1">
      <c r="A607" s="859"/>
      <c r="B607" s="238" t="s">
        <v>585</v>
      </c>
      <c r="C607" s="212">
        <v>156</v>
      </c>
      <c r="D607" s="212">
        <v>5409</v>
      </c>
      <c r="E607" s="554">
        <v>49.263776</v>
      </c>
    </row>
    <row r="608" spans="1:5" ht="12.75">
      <c r="A608" s="859"/>
      <c r="B608" s="237" t="s">
        <v>586</v>
      </c>
      <c r="C608" s="215">
        <v>2800</v>
      </c>
      <c r="D608" s="215">
        <v>16080</v>
      </c>
      <c r="E608" s="548">
        <v>29.387539</v>
      </c>
    </row>
    <row r="609" spans="1:5" ht="12.75" customHeight="1">
      <c r="A609" s="859"/>
      <c r="B609" s="239" t="s">
        <v>587</v>
      </c>
      <c r="C609" s="226" t="s">
        <v>107</v>
      </c>
      <c r="D609" s="226">
        <v>19427</v>
      </c>
      <c r="E609" s="554">
        <v>35.323229</v>
      </c>
    </row>
    <row r="610" spans="1:5" ht="12.75">
      <c r="A610" s="859"/>
      <c r="B610" s="240" t="s">
        <v>588</v>
      </c>
      <c r="C610" s="215" t="s">
        <v>107</v>
      </c>
      <c r="D610" s="215">
        <v>2062</v>
      </c>
      <c r="E610" s="548">
        <v>27.655273</v>
      </c>
    </row>
    <row r="611" spans="1:5" ht="13.5" thickBot="1">
      <c r="A611" s="860"/>
      <c r="B611" s="242" t="s">
        <v>591</v>
      </c>
      <c r="C611" s="221">
        <v>2956</v>
      </c>
      <c r="D611" s="221">
        <v>21489</v>
      </c>
      <c r="E611" s="555">
        <v>34.648785</v>
      </c>
    </row>
    <row r="612" spans="1:5" ht="12.75" customHeight="1">
      <c r="A612" s="858" t="s">
        <v>660</v>
      </c>
      <c r="B612" s="236" t="s">
        <v>583</v>
      </c>
      <c r="C612" s="223">
        <v>1270</v>
      </c>
      <c r="D612" s="223">
        <v>14248</v>
      </c>
      <c r="E612" s="553">
        <v>42.294728</v>
      </c>
    </row>
    <row r="613" spans="1:5" ht="12.75">
      <c r="A613" s="859"/>
      <c r="B613" s="237" t="s">
        <v>584</v>
      </c>
      <c r="C613" s="215">
        <v>503</v>
      </c>
      <c r="D613" s="215">
        <v>5614</v>
      </c>
      <c r="E613" s="548">
        <v>20.29694</v>
      </c>
    </row>
    <row r="614" spans="1:5" ht="12.75" customHeight="1">
      <c r="A614" s="859"/>
      <c r="B614" s="238" t="s">
        <v>585</v>
      </c>
      <c r="C614" s="212">
        <v>110</v>
      </c>
      <c r="D614" s="212">
        <v>5893</v>
      </c>
      <c r="E614" s="554">
        <v>66.896088</v>
      </c>
    </row>
    <row r="615" spans="1:5" ht="12.75">
      <c r="A615" s="859"/>
      <c r="B615" s="237" t="s">
        <v>586</v>
      </c>
      <c r="C615" s="215">
        <v>1663</v>
      </c>
      <c r="D615" s="215">
        <v>13969</v>
      </c>
      <c r="E615" s="548">
        <v>24.288115</v>
      </c>
    </row>
    <row r="616" spans="1:5" ht="12.75" customHeight="1">
      <c r="A616" s="859"/>
      <c r="B616" s="239" t="s">
        <v>587</v>
      </c>
      <c r="C616" s="226" t="s">
        <v>107</v>
      </c>
      <c r="D616" s="226">
        <v>17687</v>
      </c>
      <c r="E616" s="554">
        <v>36.607104</v>
      </c>
    </row>
    <row r="617" spans="1:5" ht="12.75">
      <c r="A617" s="859"/>
      <c r="B617" s="240" t="s">
        <v>588</v>
      </c>
      <c r="C617" s="215" t="s">
        <v>107</v>
      </c>
      <c r="D617" s="215">
        <v>2175</v>
      </c>
      <c r="E617" s="548">
        <v>36.334474</v>
      </c>
    </row>
    <row r="618" spans="1:5" ht="13.5" thickBot="1">
      <c r="A618" s="860"/>
      <c r="B618" s="242" t="s">
        <v>591</v>
      </c>
      <c r="C618" s="221">
        <v>1773</v>
      </c>
      <c r="D618" s="221">
        <v>19862</v>
      </c>
      <c r="E618" s="555">
        <v>36.581285</v>
      </c>
    </row>
    <row r="619" spans="1:5" ht="12.75" customHeight="1">
      <c r="A619" s="858" t="s">
        <v>661</v>
      </c>
      <c r="B619" s="236" t="s">
        <v>583</v>
      </c>
      <c r="C619" s="223">
        <v>602</v>
      </c>
      <c r="D619" s="223">
        <v>5381</v>
      </c>
      <c r="E619" s="553">
        <v>29.367564</v>
      </c>
    </row>
    <row r="620" spans="1:5" ht="12.75">
      <c r="A620" s="859"/>
      <c r="B620" s="237" t="s">
        <v>584</v>
      </c>
      <c r="C620" s="215">
        <v>282</v>
      </c>
      <c r="D620" s="215">
        <v>3658</v>
      </c>
      <c r="E620" s="548">
        <v>24.287572</v>
      </c>
    </row>
    <row r="621" spans="1:5" ht="12.75" customHeight="1">
      <c r="A621" s="859"/>
      <c r="B621" s="238" t="s">
        <v>585</v>
      </c>
      <c r="C621" s="212">
        <v>113</v>
      </c>
      <c r="D621" s="212">
        <v>2502</v>
      </c>
      <c r="E621" s="554">
        <v>44.115913</v>
      </c>
    </row>
    <row r="622" spans="1:5" ht="12.75">
      <c r="A622" s="859"/>
      <c r="B622" s="237" t="s">
        <v>586</v>
      </c>
      <c r="C622" s="215">
        <v>771</v>
      </c>
      <c r="D622" s="215">
        <v>6537</v>
      </c>
      <c r="E622" s="548">
        <v>21.635015</v>
      </c>
    </row>
    <row r="623" spans="1:5" ht="12.75" customHeight="1">
      <c r="A623" s="859"/>
      <c r="B623" s="239" t="s">
        <v>587</v>
      </c>
      <c r="C623" s="226" t="s">
        <v>107</v>
      </c>
      <c r="D623" s="226">
        <v>8040</v>
      </c>
      <c r="E623" s="554">
        <v>26.775902</v>
      </c>
    </row>
    <row r="624" spans="1:5" ht="12.75">
      <c r="A624" s="859"/>
      <c r="B624" s="240" t="s">
        <v>588</v>
      </c>
      <c r="C624" s="215" t="s">
        <v>107</v>
      </c>
      <c r="D624" s="215">
        <v>999</v>
      </c>
      <c r="E624" s="548">
        <v>35.930248</v>
      </c>
    </row>
    <row r="625" spans="1:5" ht="13.5" thickBot="1">
      <c r="A625" s="860"/>
      <c r="B625" s="242" t="s">
        <v>591</v>
      </c>
      <c r="C625" s="221">
        <v>884</v>
      </c>
      <c r="D625" s="221">
        <v>9039</v>
      </c>
      <c r="E625" s="555">
        <v>27.571979</v>
      </c>
    </row>
    <row r="626" spans="1:5" ht="12.75" customHeight="1">
      <c r="A626" s="858" t="s">
        <v>662</v>
      </c>
      <c r="B626" s="236" t="s">
        <v>583</v>
      </c>
      <c r="C626" s="223">
        <v>1773</v>
      </c>
      <c r="D626" s="223">
        <v>13293</v>
      </c>
      <c r="E626" s="553">
        <v>26.907624</v>
      </c>
    </row>
    <row r="627" spans="1:5" ht="12.75">
      <c r="A627" s="859"/>
      <c r="B627" s="237" t="s">
        <v>584</v>
      </c>
      <c r="C627" s="215">
        <v>339</v>
      </c>
      <c r="D627" s="215">
        <v>2891</v>
      </c>
      <c r="E627" s="548">
        <v>23.990697</v>
      </c>
    </row>
    <row r="628" spans="1:5" ht="12.75" customHeight="1">
      <c r="A628" s="859"/>
      <c r="B628" s="238" t="s">
        <v>585</v>
      </c>
      <c r="C628" s="212">
        <v>123</v>
      </c>
      <c r="D628" s="212">
        <v>2271</v>
      </c>
      <c r="E628" s="554">
        <v>59.475737</v>
      </c>
    </row>
    <row r="629" spans="1:5" ht="12.75">
      <c r="A629" s="859"/>
      <c r="B629" s="237" t="s">
        <v>586</v>
      </c>
      <c r="C629" s="215">
        <v>1989</v>
      </c>
      <c r="D629" s="215">
        <v>13913</v>
      </c>
      <c r="E629" s="548">
        <v>20.936615</v>
      </c>
    </row>
    <row r="630" spans="1:5" ht="12.75" customHeight="1">
      <c r="A630" s="859"/>
      <c r="B630" s="239" t="s">
        <v>587</v>
      </c>
      <c r="C630" s="226" t="s">
        <v>107</v>
      </c>
      <c r="D630" s="226">
        <v>12561</v>
      </c>
      <c r="E630" s="554">
        <v>27.68596</v>
      </c>
    </row>
    <row r="631" spans="1:5" ht="12.75">
      <c r="A631" s="859"/>
      <c r="B631" s="240" t="s">
        <v>588</v>
      </c>
      <c r="C631" s="215" t="s">
        <v>107</v>
      </c>
      <c r="D631" s="215">
        <v>3623</v>
      </c>
      <c r="E631" s="548">
        <v>21.910438</v>
      </c>
    </row>
    <row r="632" spans="1:5" ht="13.5" thickBot="1">
      <c r="A632" s="860"/>
      <c r="B632" s="242" t="s">
        <v>591</v>
      </c>
      <c r="C632" s="221">
        <v>2112</v>
      </c>
      <c r="D632" s="221">
        <v>16184</v>
      </c>
      <c r="E632" s="555">
        <v>26.420896</v>
      </c>
    </row>
    <row r="633" spans="1:5" ht="12.75" customHeight="1">
      <c r="A633" s="858" t="s">
        <v>663</v>
      </c>
      <c r="B633" s="236" t="s">
        <v>583</v>
      </c>
      <c r="C633" s="223">
        <v>411</v>
      </c>
      <c r="D633" s="223">
        <v>1667</v>
      </c>
      <c r="E633" s="553">
        <v>31.834521</v>
      </c>
    </row>
    <row r="634" spans="1:5" ht="12.75">
      <c r="A634" s="859"/>
      <c r="B634" s="237" t="s">
        <v>584</v>
      </c>
      <c r="C634" s="215">
        <v>178</v>
      </c>
      <c r="D634" s="215">
        <v>1322</v>
      </c>
      <c r="E634" s="548">
        <v>31.728747</v>
      </c>
    </row>
    <row r="635" spans="1:5" ht="12.75" customHeight="1">
      <c r="A635" s="859"/>
      <c r="B635" s="238" t="s">
        <v>585</v>
      </c>
      <c r="C635" s="212">
        <v>80</v>
      </c>
      <c r="D635" s="212">
        <v>1003</v>
      </c>
      <c r="E635" s="554">
        <v>45.345323</v>
      </c>
    </row>
    <row r="636" spans="1:5" ht="12.75">
      <c r="A636" s="859"/>
      <c r="B636" s="237" t="s">
        <v>586</v>
      </c>
      <c r="C636" s="215">
        <v>509</v>
      </c>
      <c r="D636" s="215">
        <v>1986</v>
      </c>
      <c r="E636" s="548">
        <v>26.13308</v>
      </c>
    </row>
    <row r="637" spans="1:5" ht="12.75" customHeight="1">
      <c r="A637" s="859"/>
      <c r="B637" s="239" t="s">
        <v>587</v>
      </c>
      <c r="C637" s="226" t="s">
        <v>107</v>
      </c>
      <c r="D637" s="226">
        <v>2472</v>
      </c>
      <c r="E637" s="554">
        <v>31.628991</v>
      </c>
    </row>
    <row r="638" spans="1:5" ht="12.75">
      <c r="A638" s="859"/>
      <c r="B638" s="240" t="s">
        <v>588</v>
      </c>
      <c r="C638" s="215" t="s">
        <v>107</v>
      </c>
      <c r="D638" s="215">
        <v>517</v>
      </c>
      <c r="E638" s="548">
        <v>32.7336</v>
      </c>
    </row>
    <row r="639" spans="1:5" ht="13.5" thickBot="1">
      <c r="A639" s="860"/>
      <c r="B639" s="242" t="s">
        <v>591</v>
      </c>
      <c r="C639" s="221">
        <v>589</v>
      </c>
      <c r="D639" s="221">
        <v>2989</v>
      </c>
      <c r="E639" s="555">
        <v>31.789926</v>
      </c>
    </row>
    <row r="640" spans="1:5" ht="12.75" customHeight="1">
      <c r="A640" s="858" t="s">
        <v>664</v>
      </c>
      <c r="B640" s="236" t="s">
        <v>583</v>
      </c>
      <c r="C640" s="223">
        <v>517</v>
      </c>
      <c r="D640" s="223">
        <v>3675</v>
      </c>
      <c r="E640" s="553">
        <v>28.014946</v>
      </c>
    </row>
    <row r="641" spans="1:5" ht="12.75">
      <c r="A641" s="859"/>
      <c r="B641" s="237" t="s">
        <v>584</v>
      </c>
      <c r="C641" s="215">
        <v>265</v>
      </c>
      <c r="D641" s="215">
        <v>2381</v>
      </c>
      <c r="E641" s="548">
        <v>24.299821</v>
      </c>
    </row>
    <row r="642" spans="1:5" ht="12.75" customHeight="1">
      <c r="A642" s="859"/>
      <c r="B642" s="238" t="s">
        <v>585</v>
      </c>
      <c r="C642" s="212">
        <v>69</v>
      </c>
      <c r="D642" s="212">
        <v>1711</v>
      </c>
      <c r="E642" s="554">
        <v>43.51734</v>
      </c>
    </row>
    <row r="643" spans="1:5" ht="12.75">
      <c r="A643" s="859"/>
      <c r="B643" s="237" t="s">
        <v>586</v>
      </c>
      <c r="C643" s="215">
        <v>713</v>
      </c>
      <c r="D643" s="215">
        <v>4345</v>
      </c>
      <c r="E643" s="548">
        <v>20.215471</v>
      </c>
    </row>
    <row r="644" spans="1:5" ht="12.75" customHeight="1">
      <c r="A644" s="859"/>
      <c r="B644" s="239" t="s">
        <v>587</v>
      </c>
      <c r="C644" s="226" t="s">
        <v>107</v>
      </c>
      <c r="D644" s="226">
        <v>5130</v>
      </c>
      <c r="E644" s="554">
        <v>26.135338</v>
      </c>
    </row>
    <row r="645" spans="1:5" ht="12.75">
      <c r="A645" s="859"/>
      <c r="B645" s="240" t="s">
        <v>588</v>
      </c>
      <c r="C645" s="215" t="s">
        <v>107</v>
      </c>
      <c r="D645" s="215">
        <v>926</v>
      </c>
      <c r="E645" s="548">
        <v>30.7526</v>
      </c>
    </row>
    <row r="646" spans="1:5" ht="13.5" thickBot="1">
      <c r="A646" s="860"/>
      <c r="B646" s="242" t="s">
        <v>591</v>
      </c>
      <c r="C646" s="221">
        <v>782</v>
      </c>
      <c r="D646" s="221">
        <v>6056</v>
      </c>
      <c r="E646" s="555">
        <v>26.705596</v>
      </c>
    </row>
    <row r="647" spans="1:5" ht="12.75">
      <c r="A647" s="194"/>
      <c r="B647" s="195"/>
      <c r="C647" s="197"/>
      <c r="D647" s="198"/>
      <c r="E647" s="556"/>
    </row>
    <row r="648" spans="1:5" ht="12.75">
      <c r="A648" s="194"/>
      <c r="B648" s="195"/>
      <c r="C648" s="197"/>
      <c r="D648" s="198"/>
      <c r="E648" s="556"/>
    </row>
    <row r="649" spans="1:5" ht="12.75">
      <c r="A649" s="194"/>
      <c r="B649" s="195"/>
      <c r="C649" s="197"/>
      <c r="D649" s="198"/>
      <c r="E649" s="556"/>
    </row>
    <row r="650" spans="1:5" ht="12.75">
      <c r="A650" s="194"/>
      <c r="B650" s="195"/>
      <c r="C650" s="197"/>
      <c r="D650" s="198" t="s">
        <v>107</v>
      </c>
      <c r="E650" s="556"/>
    </row>
    <row r="651" spans="1:5" ht="12.75">
      <c r="A651" s="194"/>
      <c r="B651" s="195"/>
      <c r="C651" s="197"/>
      <c r="D651" s="198" t="s">
        <v>107</v>
      </c>
      <c r="E651" s="556"/>
    </row>
    <row r="652" spans="1:5" ht="12.75">
      <c r="A652" s="194"/>
      <c r="B652" s="195"/>
      <c r="C652" s="197"/>
      <c r="D652" s="198"/>
      <c r="E652" s="556"/>
    </row>
    <row r="653" spans="1:5" ht="13.5" thickBot="1">
      <c r="A653" s="190"/>
      <c r="B653" s="191"/>
      <c r="C653" s="191"/>
      <c r="D653" s="192"/>
      <c r="E653" s="193" t="s">
        <v>107</v>
      </c>
    </row>
    <row r="654" spans="1:5" ht="12.75" customHeight="1">
      <c r="A654" s="861" t="s">
        <v>496</v>
      </c>
      <c r="B654" s="199"/>
      <c r="C654" s="200"/>
      <c r="D654" s="201" t="s">
        <v>501</v>
      </c>
      <c r="E654" s="550" t="s">
        <v>502</v>
      </c>
    </row>
    <row r="655" spans="1:5" ht="12.75">
      <c r="A655" s="862"/>
      <c r="B655" s="202" t="s">
        <v>578</v>
      </c>
      <c r="C655" s="203" t="s">
        <v>504</v>
      </c>
      <c r="D655" s="204" t="s">
        <v>505</v>
      </c>
      <c r="E655" s="551" t="s">
        <v>506</v>
      </c>
    </row>
    <row r="656" spans="1:5" ht="12.75" customHeight="1">
      <c r="A656" s="862"/>
      <c r="B656" s="205" t="s">
        <v>579</v>
      </c>
      <c r="C656" s="206" t="s">
        <v>508</v>
      </c>
      <c r="D656" s="207" t="s">
        <v>509</v>
      </c>
      <c r="E656" s="551" t="s">
        <v>580</v>
      </c>
    </row>
    <row r="657" spans="1:5" ht="13.5" thickBot="1">
      <c r="A657" s="863"/>
      <c r="B657" s="208"/>
      <c r="C657" s="209" t="s">
        <v>510</v>
      </c>
      <c r="D657" s="210" t="s">
        <v>511</v>
      </c>
      <c r="E657" s="557" t="s">
        <v>581</v>
      </c>
    </row>
    <row r="658" spans="1:5" ht="12.75" customHeight="1">
      <c r="A658" s="858" t="s">
        <v>665</v>
      </c>
      <c r="B658" s="236" t="s">
        <v>583</v>
      </c>
      <c r="C658" s="223">
        <v>2999</v>
      </c>
      <c r="D658" s="223">
        <v>16986</v>
      </c>
      <c r="E658" s="553">
        <v>32.363088</v>
      </c>
    </row>
    <row r="659" spans="1:5" ht="12.75">
      <c r="A659" s="859"/>
      <c r="B659" s="237" t="s">
        <v>584</v>
      </c>
      <c r="C659" s="215">
        <v>606</v>
      </c>
      <c r="D659" s="215">
        <v>4880</v>
      </c>
      <c r="E659" s="548">
        <v>22.457312</v>
      </c>
    </row>
    <row r="660" spans="1:5" ht="12.75" customHeight="1">
      <c r="A660" s="859"/>
      <c r="B660" s="238" t="s">
        <v>585</v>
      </c>
      <c r="C660" s="212">
        <v>138</v>
      </c>
      <c r="D660" s="212">
        <v>1748</v>
      </c>
      <c r="E660" s="554">
        <v>52.683558</v>
      </c>
    </row>
    <row r="661" spans="1:5" ht="12.75">
      <c r="A661" s="859"/>
      <c r="B661" s="237" t="s">
        <v>586</v>
      </c>
      <c r="C661" s="215">
        <v>3467</v>
      </c>
      <c r="D661" s="215">
        <v>20118</v>
      </c>
      <c r="E661" s="548">
        <v>28.244297</v>
      </c>
    </row>
    <row r="662" spans="1:5" ht="12.75" customHeight="1">
      <c r="A662" s="859"/>
      <c r="B662" s="239" t="s">
        <v>587</v>
      </c>
      <c r="C662" s="226" t="s">
        <v>107</v>
      </c>
      <c r="D662" s="226">
        <v>16795</v>
      </c>
      <c r="E662" s="554">
        <v>31.460389</v>
      </c>
    </row>
    <row r="663" spans="1:5" ht="12.75">
      <c r="A663" s="859"/>
      <c r="B663" s="240" t="s">
        <v>588</v>
      </c>
      <c r="C663" s="215" t="s">
        <v>107</v>
      </c>
      <c r="D663" s="215">
        <v>5071</v>
      </c>
      <c r="E663" s="548">
        <v>26.374474</v>
      </c>
    </row>
    <row r="664" spans="1:5" ht="13.5" thickBot="1">
      <c r="A664" s="860"/>
      <c r="B664" s="242" t="s">
        <v>591</v>
      </c>
      <c r="C664" s="221">
        <v>3605</v>
      </c>
      <c r="D664" s="221">
        <v>21866</v>
      </c>
      <c r="E664" s="555">
        <v>30.331606</v>
      </c>
    </row>
    <row r="665" spans="1:5" ht="12.75" customHeight="1">
      <c r="A665" s="858" t="s">
        <v>666</v>
      </c>
      <c r="B665" s="236" t="s">
        <v>583</v>
      </c>
      <c r="C665" s="223">
        <v>2978</v>
      </c>
      <c r="D665" s="223">
        <v>17628</v>
      </c>
      <c r="E665" s="553">
        <v>35.302976</v>
      </c>
    </row>
    <row r="666" spans="1:5" ht="12.75">
      <c r="A666" s="859"/>
      <c r="B666" s="237" t="s">
        <v>584</v>
      </c>
      <c r="C666" s="215">
        <v>523</v>
      </c>
      <c r="D666" s="215">
        <v>4755</v>
      </c>
      <c r="E666" s="548">
        <v>21.795869</v>
      </c>
    </row>
    <row r="667" spans="1:5" ht="12.75" customHeight="1">
      <c r="A667" s="859"/>
      <c r="B667" s="238" t="s">
        <v>585</v>
      </c>
      <c r="C667" s="212">
        <v>138</v>
      </c>
      <c r="D667" s="212">
        <v>1660</v>
      </c>
      <c r="E667" s="554">
        <v>56.785528</v>
      </c>
    </row>
    <row r="668" spans="1:5" ht="12.75">
      <c r="A668" s="859"/>
      <c r="B668" s="237" t="s">
        <v>586</v>
      </c>
      <c r="C668" s="215">
        <v>3363</v>
      </c>
      <c r="D668" s="215">
        <v>20723</v>
      </c>
      <c r="E668" s="548">
        <v>30.820496</v>
      </c>
    </row>
    <row r="669" spans="1:5" ht="12.75" customHeight="1">
      <c r="A669" s="859"/>
      <c r="B669" s="239" t="s">
        <v>587</v>
      </c>
      <c r="C669" s="226" t="s">
        <v>107</v>
      </c>
      <c r="D669" s="226">
        <v>19101</v>
      </c>
      <c r="E669" s="554">
        <v>33.899884</v>
      </c>
    </row>
    <row r="670" spans="1:5" ht="12.75">
      <c r="A670" s="859"/>
      <c r="B670" s="240" t="s">
        <v>588</v>
      </c>
      <c r="C670" s="215" t="s">
        <v>107</v>
      </c>
      <c r="D670" s="215">
        <v>3282</v>
      </c>
      <c r="E670" s="548">
        <v>24.808174</v>
      </c>
    </row>
    <row r="671" spans="1:5" ht="13.5" thickBot="1">
      <c r="A671" s="860"/>
      <c r="B671" s="242" t="s">
        <v>591</v>
      </c>
      <c r="C671" s="221">
        <v>3501</v>
      </c>
      <c r="D671" s="221">
        <v>22383</v>
      </c>
      <c r="E671" s="555">
        <v>32.638926</v>
      </c>
    </row>
    <row r="672" spans="1:5" ht="12.75" customHeight="1">
      <c r="A672" s="858" t="s">
        <v>667</v>
      </c>
      <c r="B672" s="236" t="s">
        <v>583</v>
      </c>
      <c r="C672" s="223">
        <v>457</v>
      </c>
      <c r="D672" s="223">
        <v>2193</v>
      </c>
      <c r="E672" s="553">
        <v>32.416003</v>
      </c>
    </row>
    <row r="673" spans="1:5" ht="12.75">
      <c r="A673" s="859"/>
      <c r="B673" s="237" t="s">
        <v>584</v>
      </c>
      <c r="C673" s="215">
        <v>200</v>
      </c>
      <c r="D673" s="215">
        <v>1238</v>
      </c>
      <c r="E673" s="548">
        <v>23.137783</v>
      </c>
    </row>
    <row r="674" spans="1:5" ht="12.75" customHeight="1">
      <c r="A674" s="859"/>
      <c r="B674" s="238" t="s">
        <v>585</v>
      </c>
      <c r="C674" s="212">
        <v>125</v>
      </c>
      <c r="D674" s="212">
        <v>891</v>
      </c>
      <c r="E674" s="554">
        <v>51.926978</v>
      </c>
    </row>
    <row r="675" spans="1:5" ht="12.75">
      <c r="A675" s="859"/>
      <c r="B675" s="237" t="s">
        <v>586</v>
      </c>
      <c r="C675" s="215">
        <v>532</v>
      </c>
      <c r="D675" s="215">
        <v>2540</v>
      </c>
      <c r="E675" s="548">
        <v>21.478171</v>
      </c>
    </row>
    <row r="676" spans="1:5" ht="12.75" customHeight="1">
      <c r="A676" s="859"/>
      <c r="B676" s="239" t="s">
        <v>587</v>
      </c>
      <c r="C676" s="226" t="s">
        <v>107</v>
      </c>
      <c r="D676" s="226">
        <v>3012</v>
      </c>
      <c r="E676" s="554">
        <v>29.136573</v>
      </c>
    </row>
    <row r="677" spans="1:5" ht="12.75">
      <c r="A677" s="859"/>
      <c r="B677" s="240" t="s">
        <v>588</v>
      </c>
      <c r="C677" s="215" t="s">
        <v>107</v>
      </c>
      <c r="D677" s="215">
        <v>419</v>
      </c>
      <c r="E677" s="548">
        <v>29.3742</v>
      </c>
    </row>
    <row r="678" spans="1:5" ht="13.5" thickBot="1">
      <c r="A678" s="860"/>
      <c r="B678" s="242" t="s">
        <v>591</v>
      </c>
      <c r="C678" s="221">
        <v>657</v>
      </c>
      <c r="D678" s="221">
        <v>3431</v>
      </c>
      <c r="E678" s="555">
        <v>29.160495</v>
      </c>
    </row>
    <row r="679" spans="1:5" ht="12.75" customHeight="1">
      <c r="A679" s="858" t="s">
        <v>668</v>
      </c>
      <c r="B679" s="236" t="s">
        <v>583</v>
      </c>
      <c r="C679" s="223">
        <v>2364</v>
      </c>
      <c r="D679" s="223">
        <v>15812</v>
      </c>
      <c r="E679" s="553">
        <v>25.467322</v>
      </c>
    </row>
    <row r="680" spans="1:5" ht="12.75">
      <c r="A680" s="859"/>
      <c r="B680" s="237" t="s">
        <v>584</v>
      </c>
      <c r="C680" s="215">
        <v>848</v>
      </c>
      <c r="D680" s="215">
        <v>6740</v>
      </c>
      <c r="E680" s="548">
        <v>22.973041</v>
      </c>
    </row>
    <row r="681" spans="1:5" ht="12.75" customHeight="1">
      <c r="A681" s="859"/>
      <c r="B681" s="238" t="s">
        <v>585</v>
      </c>
      <c r="C681" s="212">
        <v>200</v>
      </c>
      <c r="D681" s="212">
        <v>3122</v>
      </c>
      <c r="E681" s="554">
        <v>48.594589</v>
      </c>
    </row>
    <row r="682" spans="1:5" ht="12.75">
      <c r="A682" s="859"/>
      <c r="B682" s="237" t="s">
        <v>586</v>
      </c>
      <c r="C682" s="215">
        <v>3012</v>
      </c>
      <c r="D682" s="215">
        <v>19430</v>
      </c>
      <c r="E682" s="548">
        <v>20.942466</v>
      </c>
    </row>
    <row r="683" spans="1:5" ht="12.75" customHeight="1">
      <c r="A683" s="859"/>
      <c r="B683" s="239" t="s">
        <v>587</v>
      </c>
      <c r="C683" s="226" t="s">
        <v>107</v>
      </c>
      <c r="D683" s="226">
        <v>19246</v>
      </c>
      <c r="E683" s="554">
        <v>24.939126</v>
      </c>
    </row>
    <row r="684" spans="1:5" ht="12.75">
      <c r="A684" s="859"/>
      <c r="B684" s="240" t="s">
        <v>588</v>
      </c>
      <c r="C684" s="215" t="s">
        <v>107</v>
      </c>
      <c r="D684" s="215">
        <v>3306</v>
      </c>
      <c r="E684" s="548">
        <v>24.027505</v>
      </c>
    </row>
    <row r="685" spans="1:5" ht="13.5" thickBot="1">
      <c r="A685" s="860"/>
      <c r="B685" s="242" t="s">
        <v>591</v>
      </c>
      <c r="C685" s="221">
        <v>3212</v>
      </c>
      <c r="D685" s="221">
        <v>22552</v>
      </c>
      <c r="E685" s="555">
        <v>24.812416</v>
      </c>
    </row>
    <row r="686" spans="1:5" ht="12.75" customHeight="1">
      <c r="A686" s="858" t="s">
        <v>669</v>
      </c>
      <c r="B686" s="236" t="s">
        <v>583</v>
      </c>
      <c r="C686" s="223">
        <v>3717</v>
      </c>
      <c r="D686" s="223">
        <v>38451</v>
      </c>
      <c r="E686" s="553">
        <v>26.459951</v>
      </c>
    </row>
    <row r="687" spans="1:5" ht="12.75">
      <c r="A687" s="859"/>
      <c r="B687" s="237" t="s">
        <v>584</v>
      </c>
      <c r="C687" s="215">
        <v>696</v>
      </c>
      <c r="D687" s="215">
        <v>5672</v>
      </c>
      <c r="E687" s="548">
        <v>22.598502</v>
      </c>
    </row>
    <row r="688" spans="1:5" ht="12.75" customHeight="1">
      <c r="A688" s="859"/>
      <c r="B688" s="238" t="s">
        <v>585</v>
      </c>
      <c r="C688" s="212">
        <v>168</v>
      </c>
      <c r="D688" s="212">
        <v>2584</v>
      </c>
      <c r="E688" s="554">
        <v>51.004594</v>
      </c>
    </row>
    <row r="689" spans="1:5" ht="12.75">
      <c r="A689" s="859"/>
      <c r="B689" s="237" t="s">
        <v>586</v>
      </c>
      <c r="C689" s="215">
        <v>4245</v>
      </c>
      <c r="D689" s="215">
        <v>41539</v>
      </c>
      <c r="E689" s="548">
        <v>24.597488</v>
      </c>
    </row>
    <row r="690" spans="1:5" ht="12.75" customHeight="1">
      <c r="A690" s="859"/>
      <c r="B690" s="239" t="s">
        <v>587</v>
      </c>
      <c r="C690" s="226" t="s">
        <v>107</v>
      </c>
      <c r="D690" s="226">
        <v>32603</v>
      </c>
      <c r="E690" s="554">
        <v>26.926729</v>
      </c>
    </row>
    <row r="691" spans="1:5" ht="12.75">
      <c r="A691" s="859"/>
      <c r="B691" s="240" t="s">
        <v>588</v>
      </c>
      <c r="C691" s="215" t="s">
        <v>107</v>
      </c>
      <c r="D691" s="215">
        <v>11520</v>
      </c>
      <c r="E691" s="548">
        <v>23.284789</v>
      </c>
    </row>
    <row r="692" spans="1:5" ht="13.5" thickBot="1">
      <c r="A692" s="860"/>
      <c r="B692" s="242" t="s">
        <v>591</v>
      </c>
      <c r="C692" s="221">
        <v>4413</v>
      </c>
      <c r="D692" s="221">
        <v>44123</v>
      </c>
      <c r="E692" s="555">
        <v>26.012834</v>
      </c>
    </row>
    <row r="693" spans="1:5" ht="12.75" customHeight="1">
      <c r="A693" s="858" t="s">
        <v>823</v>
      </c>
      <c r="B693" s="236" t="s">
        <v>583</v>
      </c>
      <c r="C693" s="543">
        <f aca="true" t="shared" si="0" ref="C693:D696">+C11+C18+C25+C32+C39+C46+C60+C67+C74+C81+C88+C95+C102+C118+C125+C132+C139+C146+C153+C160+C179+C186+C193+C200+C207+C214+C221+C238+C245+C252+C259+C266+C273+C280+C298+C305+C312+C319+C326+C333+C340+C358+C365+C372+C379+C386+C393+C400+C418+C425+C432+C439+C446+C453+C460+C478+C485+C492+C499+C506+C513+C520+C537+C544+C551+C558+C565+C572+C579+C598+C605+C612+C619+C626+C633+C640+C658+C665+C672+C679+C686</f>
        <v>936875</v>
      </c>
      <c r="D693" s="543">
        <f t="shared" si="0"/>
        <v>6803976</v>
      </c>
      <c r="E693" s="553">
        <v>33.469057</v>
      </c>
    </row>
    <row r="694" spans="1:5" ht="12.75">
      <c r="A694" s="859"/>
      <c r="B694" s="237" t="s">
        <v>584</v>
      </c>
      <c r="C694" s="544">
        <f t="shared" si="0"/>
        <v>159190</v>
      </c>
      <c r="D694" s="544">
        <f t="shared" si="0"/>
        <v>1603649</v>
      </c>
      <c r="E694" s="548">
        <v>24.265117</v>
      </c>
    </row>
    <row r="695" spans="1:5" ht="12.75" customHeight="1">
      <c r="A695" s="859"/>
      <c r="B695" s="238" t="s">
        <v>585</v>
      </c>
      <c r="C695" s="545">
        <f t="shared" si="0"/>
        <v>29470</v>
      </c>
      <c r="D695" s="545">
        <f t="shared" si="0"/>
        <v>685930</v>
      </c>
      <c r="E695" s="554">
        <v>59.273464</v>
      </c>
    </row>
    <row r="696" spans="1:5" ht="12.75">
      <c r="A696" s="859"/>
      <c r="B696" s="237" t="s">
        <v>586</v>
      </c>
      <c r="C696" s="544">
        <f t="shared" si="0"/>
        <v>1066595</v>
      </c>
      <c r="D696" s="544">
        <f t="shared" si="0"/>
        <v>7721695</v>
      </c>
      <c r="E696" s="548">
        <v>29.505347</v>
      </c>
    </row>
    <row r="697" spans="1:5" ht="12.75" customHeight="1">
      <c r="A697" s="859"/>
      <c r="B697" s="239" t="s">
        <v>587</v>
      </c>
      <c r="C697" s="546">
        <v>0</v>
      </c>
      <c r="D697" s="546">
        <f>+D15+D22+D29+D36+D43+D50+D64+D71+D78+D85+D92+D99+D106+D122+D129+D136+D143+D150+D157+D164+D183+D190+D197+D204+D211+D218+D225+D242+D249+D256+D263+D270+D277+D284+D302+D309+D316+D323+D330+D337+D344+D362+D369+D376+D383+D390+D397+D404+D422+D429+D436+D443+D450+D457+D464+D482+D489+D496+D503+D510+D517+D524+D541+D548+D555+D562+D569+D576+D583+D602+D609+D616+D623+D630+D637+D644+D662+D669+D676+D683+D690</f>
        <v>6596688</v>
      </c>
      <c r="E697" s="554">
        <v>31.955297</v>
      </c>
    </row>
    <row r="698" spans="1:5" ht="12.75">
      <c r="A698" s="859"/>
      <c r="B698" s="240" t="s">
        <v>588</v>
      </c>
      <c r="C698" s="544">
        <v>0</v>
      </c>
      <c r="D698" s="544">
        <f>+D16+D23+D30+D37+D44+D51+D65+D72+D79+D86+D93+D100+D107+D123+D130+D137+D144+D151+D158+D165+D184+D191+D198+D205+D212+D219+D226+D243+D250+D257+D264+D271+D278+D285+D303+D310+D317+D324+D331+D338+D345+D363+D370+D377+D384+D391+D398+D405+D423+D430+D437+D444+D451+D458+D465+D483+D490+D497+D504+D511+D518+D525+D542+D549+D556+D563+D570+D577+D584+D603+D610+D617+D624+D631+D638+D645+D663+D670+D677+D684+D691</f>
        <v>1810937</v>
      </c>
      <c r="E698" s="548">
        <v>31.643671</v>
      </c>
    </row>
    <row r="699" spans="1:5" ht="13.5" thickBot="1">
      <c r="A699" s="860"/>
      <c r="B699" s="242" t="s">
        <v>591</v>
      </c>
      <c r="C699" s="547">
        <f>+C693+C694</f>
        <v>1096065</v>
      </c>
      <c r="D699" s="547">
        <f>+D693+D694</f>
        <v>8407625</v>
      </c>
      <c r="E699" s="555">
        <v>31.889199</v>
      </c>
    </row>
  </sheetData>
  <mergeCells count="99">
    <mergeCell ref="A81:A87"/>
    <mergeCell ref="A88:A94"/>
    <mergeCell ref="A6:D6"/>
    <mergeCell ref="A7:A10"/>
    <mergeCell ref="A67:A73"/>
    <mergeCell ref="A74:A80"/>
    <mergeCell ref="A11:A17"/>
    <mergeCell ref="A18:A24"/>
    <mergeCell ref="A25:A31"/>
    <mergeCell ref="A32:A38"/>
    <mergeCell ref="A1:E1"/>
    <mergeCell ref="A2:E2"/>
    <mergeCell ref="A3:E3"/>
    <mergeCell ref="A4:E4"/>
    <mergeCell ref="A39:A45"/>
    <mergeCell ref="A46:A52"/>
    <mergeCell ref="A56:A59"/>
    <mergeCell ref="A60:A66"/>
    <mergeCell ref="A95:A101"/>
    <mergeCell ref="A102:A108"/>
    <mergeCell ref="A114:A117"/>
    <mergeCell ref="A118:A124"/>
    <mergeCell ref="A125:A131"/>
    <mergeCell ref="A132:A138"/>
    <mergeCell ref="A139:A145"/>
    <mergeCell ref="A146:A152"/>
    <mergeCell ref="A153:A159"/>
    <mergeCell ref="A160:A166"/>
    <mergeCell ref="A175:A178"/>
    <mergeCell ref="A179:A185"/>
    <mergeCell ref="A186:A192"/>
    <mergeCell ref="A193:A199"/>
    <mergeCell ref="A200:A206"/>
    <mergeCell ref="A207:A213"/>
    <mergeCell ref="A214:A220"/>
    <mergeCell ref="A221:A227"/>
    <mergeCell ref="A234:A237"/>
    <mergeCell ref="A238:A244"/>
    <mergeCell ref="A245:A251"/>
    <mergeCell ref="A252:A258"/>
    <mergeCell ref="A259:A265"/>
    <mergeCell ref="A266:A272"/>
    <mergeCell ref="A273:A279"/>
    <mergeCell ref="A280:A286"/>
    <mergeCell ref="A294:A297"/>
    <mergeCell ref="A298:A304"/>
    <mergeCell ref="A305:A311"/>
    <mergeCell ref="A312:A318"/>
    <mergeCell ref="A319:A325"/>
    <mergeCell ref="A326:A332"/>
    <mergeCell ref="A333:A339"/>
    <mergeCell ref="A340:A346"/>
    <mergeCell ref="A354:A357"/>
    <mergeCell ref="A358:A364"/>
    <mergeCell ref="A365:A371"/>
    <mergeCell ref="A372:A378"/>
    <mergeCell ref="A379:A385"/>
    <mergeCell ref="A386:A392"/>
    <mergeCell ref="A393:A399"/>
    <mergeCell ref="A400:A406"/>
    <mergeCell ref="A414:A417"/>
    <mergeCell ref="A418:A424"/>
    <mergeCell ref="A425:A431"/>
    <mergeCell ref="A432:A438"/>
    <mergeCell ref="A439:A445"/>
    <mergeCell ref="A446:A452"/>
    <mergeCell ref="A453:A459"/>
    <mergeCell ref="A460:A466"/>
    <mergeCell ref="A474:A477"/>
    <mergeCell ref="A478:A484"/>
    <mergeCell ref="A485:A491"/>
    <mergeCell ref="A492:A498"/>
    <mergeCell ref="A499:A505"/>
    <mergeCell ref="A506:A512"/>
    <mergeCell ref="A513:A519"/>
    <mergeCell ref="A520:A526"/>
    <mergeCell ref="A533:A536"/>
    <mergeCell ref="A537:A543"/>
    <mergeCell ref="A544:A550"/>
    <mergeCell ref="A551:A557"/>
    <mergeCell ref="A558:A564"/>
    <mergeCell ref="A565:A571"/>
    <mergeCell ref="A572:A578"/>
    <mergeCell ref="A579:A585"/>
    <mergeCell ref="A594:A597"/>
    <mergeCell ref="A598:A604"/>
    <mergeCell ref="A605:A611"/>
    <mergeCell ref="A612:A618"/>
    <mergeCell ref="A619:A625"/>
    <mergeCell ref="A626:A632"/>
    <mergeCell ref="A633:A639"/>
    <mergeCell ref="A640:A646"/>
    <mergeCell ref="A654:A657"/>
    <mergeCell ref="A658:A664"/>
    <mergeCell ref="A693:A699"/>
    <mergeCell ref="A665:A671"/>
    <mergeCell ref="A672:A678"/>
    <mergeCell ref="A679:A685"/>
    <mergeCell ref="A686:A692"/>
  </mergeCells>
  <printOptions/>
  <pageMargins left="0.84" right="0.28" top="0.63" bottom="0.5" header="0.5118110236220472" footer="0.31496062992125984"/>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tabColor indexed="39"/>
  </sheetPr>
  <dimension ref="A1:E411"/>
  <sheetViews>
    <sheetView showGridLines="0" workbookViewId="0" topLeftCell="A394">
      <selection activeCell="B404" sqref="B404"/>
    </sheetView>
  </sheetViews>
  <sheetFormatPr defaultColWidth="9.00390625" defaultRowHeight="12.75"/>
  <cols>
    <col min="1" max="1" width="3.125" style="1" customWidth="1"/>
    <col min="2" max="2" width="32.625" style="1" customWidth="1"/>
    <col min="3" max="3" width="15.00390625" style="106" customWidth="1"/>
    <col min="4" max="4" width="19.25390625" style="1" customWidth="1"/>
    <col min="5" max="5" width="17.625" style="570" customWidth="1"/>
    <col min="6" max="16384" width="9.125" style="1" customWidth="1"/>
  </cols>
  <sheetData>
    <row r="1" spans="1:5" ht="48.75" customHeight="1">
      <c r="A1" s="879" t="s">
        <v>3</v>
      </c>
      <c r="B1" s="879"/>
      <c r="C1" s="879"/>
      <c r="D1" s="879"/>
      <c r="E1" s="879"/>
    </row>
    <row r="2" spans="1:5" ht="12.75" customHeight="1">
      <c r="A2" s="880" t="s">
        <v>565</v>
      </c>
      <c r="B2" s="880"/>
      <c r="C2" s="880"/>
      <c r="D2" s="880"/>
      <c r="E2" s="880"/>
    </row>
    <row r="3" spans="1:5" ht="12.75" customHeight="1">
      <c r="A3" s="880" t="s">
        <v>2</v>
      </c>
      <c r="B3" s="880"/>
      <c r="C3" s="880"/>
      <c r="D3" s="880"/>
      <c r="E3" s="880"/>
    </row>
    <row r="4" spans="1:5" ht="24" customHeight="1" thickBot="1">
      <c r="A4" s="883" t="s">
        <v>50</v>
      </c>
      <c r="B4" s="883"/>
      <c r="C4" s="883"/>
      <c r="D4" s="883"/>
      <c r="E4" s="884"/>
    </row>
    <row r="5" spans="1:5" ht="12.75" customHeight="1" thickTop="1">
      <c r="A5" s="881" t="s">
        <v>500</v>
      </c>
      <c r="B5" s="177" t="s">
        <v>107</v>
      </c>
      <c r="C5" s="590"/>
      <c r="D5" s="173" t="s">
        <v>501</v>
      </c>
      <c r="E5" s="562" t="s">
        <v>502</v>
      </c>
    </row>
    <row r="6" spans="1:5" ht="12.75">
      <c r="A6" s="882"/>
      <c r="B6" s="178" t="s">
        <v>503</v>
      </c>
      <c r="C6" s="591" t="s">
        <v>504</v>
      </c>
      <c r="D6" s="174" t="s">
        <v>505</v>
      </c>
      <c r="E6" s="563" t="s">
        <v>506</v>
      </c>
    </row>
    <row r="7" spans="1:5" ht="12.75">
      <c r="A7" s="882"/>
      <c r="B7" s="179" t="s">
        <v>507</v>
      </c>
      <c r="C7" s="181" t="s">
        <v>508</v>
      </c>
      <c r="D7" s="175" t="s">
        <v>509</v>
      </c>
      <c r="E7" s="563" t="s">
        <v>773</v>
      </c>
    </row>
    <row r="8" spans="1:5" ht="22.5" customHeight="1">
      <c r="A8" s="882"/>
      <c r="B8" s="180"/>
      <c r="C8" s="180" t="s">
        <v>510</v>
      </c>
      <c r="D8" s="176" t="s">
        <v>511</v>
      </c>
      <c r="E8" s="564" t="s">
        <v>512</v>
      </c>
    </row>
    <row r="9" spans="1:5" ht="10.5" customHeight="1">
      <c r="A9" s="885" t="s">
        <v>497</v>
      </c>
      <c r="B9" s="168" t="s">
        <v>513</v>
      </c>
      <c r="C9" s="584" t="s">
        <v>107</v>
      </c>
      <c r="D9" s="585" t="s">
        <v>107</v>
      </c>
      <c r="E9" s="586">
        <v>0</v>
      </c>
    </row>
    <row r="10" spans="1:5" ht="12.75">
      <c r="A10" s="885"/>
      <c r="B10" s="170" t="s">
        <v>558</v>
      </c>
      <c r="C10" s="587">
        <v>7332</v>
      </c>
      <c r="D10" s="587">
        <v>48486</v>
      </c>
      <c r="E10" s="588">
        <v>37.142191</v>
      </c>
    </row>
    <row r="11" spans="1:5" ht="12.75">
      <c r="A11" s="885"/>
      <c r="B11" s="170" t="s">
        <v>559</v>
      </c>
      <c r="C11" s="587">
        <v>667</v>
      </c>
      <c r="D11" s="587">
        <v>7671</v>
      </c>
      <c r="E11" s="588">
        <v>29.658754</v>
      </c>
    </row>
    <row r="12" spans="1:5" ht="12.75">
      <c r="A12" s="885"/>
      <c r="B12" s="171" t="s">
        <v>560</v>
      </c>
      <c r="C12" s="587">
        <v>918</v>
      </c>
      <c r="D12" s="587">
        <v>13415</v>
      </c>
      <c r="E12" s="588">
        <v>68.494474</v>
      </c>
    </row>
    <row r="13" spans="1:5" ht="12.75">
      <c r="A13" s="885"/>
      <c r="B13" s="171" t="s">
        <v>561</v>
      </c>
      <c r="C13" s="587">
        <v>7081</v>
      </c>
      <c r="D13" s="587">
        <v>42742</v>
      </c>
      <c r="E13" s="588">
        <v>25.434634</v>
      </c>
    </row>
    <row r="14" spans="1:5" ht="12.75">
      <c r="A14" s="885"/>
      <c r="B14" s="167" t="s">
        <v>562</v>
      </c>
      <c r="C14" s="587" t="s">
        <v>107</v>
      </c>
      <c r="D14" s="587">
        <v>46281</v>
      </c>
      <c r="E14" s="588">
        <v>36.491957</v>
      </c>
    </row>
    <row r="15" spans="1:5" ht="12.75">
      <c r="A15" s="885"/>
      <c r="B15" s="167" t="s">
        <v>563</v>
      </c>
      <c r="C15" s="587" t="s">
        <v>107</v>
      </c>
      <c r="D15" s="587">
        <v>9876</v>
      </c>
      <c r="E15" s="588">
        <v>34.817778</v>
      </c>
    </row>
    <row r="16" spans="1:5" ht="12.75">
      <c r="A16" s="885"/>
      <c r="B16" s="171" t="s">
        <v>564</v>
      </c>
      <c r="C16" s="589">
        <v>7999</v>
      </c>
      <c r="D16" s="589">
        <v>56157</v>
      </c>
      <c r="E16" s="574">
        <v>36.213967</v>
      </c>
    </row>
    <row r="17" spans="1:5" ht="12.75">
      <c r="A17" s="885" t="s">
        <v>498</v>
      </c>
      <c r="B17" s="168" t="s">
        <v>514</v>
      </c>
      <c r="C17" s="584" t="s">
        <v>107</v>
      </c>
      <c r="D17" s="584" t="s">
        <v>107</v>
      </c>
      <c r="E17" s="588">
        <v>0</v>
      </c>
    </row>
    <row r="18" spans="1:5" ht="12.75">
      <c r="A18" s="885"/>
      <c r="B18" s="170" t="s">
        <v>558</v>
      </c>
      <c r="C18" s="587">
        <v>573</v>
      </c>
      <c r="D18" s="587">
        <v>15973</v>
      </c>
      <c r="E18" s="588">
        <v>62.958989</v>
      </c>
    </row>
    <row r="19" spans="1:5" ht="12.75">
      <c r="A19" s="885"/>
      <c r="B19" s="170" t="s">
        <v>559</v>
      </c>
      <c r="C19" s="587">
        <v>583</v>
      </c>
      <c r="D19" s="587">
        <v>10335</v>
      </c>
      <c r="E19" s="588">
        <v>54.64803</v>
      </c>
    </row>
    <row r="20" spans="1:5" ht="12.75">
      <c r="A20" s="885"/>
      <c r="B20" s="171" t="s">
        <v>560</v>
      </c>
      <c r="C20" s="587">
        <v>334</v>
      </c>
      <c r="D20" s="587">
        <v>21226</v>
      </c>
      <c r="E20" s="588">
        <v>66.656808</v>
      </c>
    </row>
    <row r="21" spans="1:5" ht="12.75">
      <c r="A21" s="885"/>
      <c r="B21" s="171" t="s">
        <v>561</v>
      </c>
      <c r="C21" s="587">
        <v>822</v>
      </c>
      <c r="D21" s="587">
        <v>5082</v>
      </c>
      <c r="E21" s="588">
        <v>24.581713</v>
      </c>
    </row>
    <row r="22" spans="1:5" ht="12.75">
      <c r="A22" s="885"/>
      <c r="B22" s="167" t="s">
        <v>562</v>
      </c>
      <c r="C22" s="587" t="s">
        <v>107</v>
      </c>
      <c r="D22" s="587">
        <v>23807</v>
      </c>
      <c r="E22" s="588">
        <v>60.798614</v>
      </c>
    </row>
    <row r="23" spans="1:5" ht="12.75">
      <c r="A23" s="885"/>
      <c r="B23" s="167" t="s">
        <v>563</v>
      </c>
      <c r="C23" s="587" t="s">
        <v>107</v>
      </c>
      <c r="D23" s="587">
        <v>2501</v>
      </c>
      <c r="E23" s="588">
        <v>50.118064</v>
      </c>
    </row>
    <row r="24" spans="1:5" ht="12.75">
      <c r="A24" s="885"/>
      <c r="B24" s="171" t="s">
        <v>564</v>
      </c>
      <c r="C24" s="589">
        <v>1156</v>
      </c>
      <c r="D24" s="589">
        <v>26308</v>
      </c>
      <c r="E24" s="574">
        <v>59.817523</v>
      </c>
    </row>
    <row r="25" spans="1:5" ht="12.75">
      <c r="A25" s="885" t="s">
        <v>499</v>
      </c>
      <c r="B25" s="168" t="s">
        <v>515</v>
      </c>
      <c r="C25" s="584" t="s">
        <v>107</v>
      </c>
      <c r="D25" s="585" t="s">
        <v>107</v>
      </c>
      <c r="E25" s="588">
        <v>0</v>
      </c>
    </row>
    <row r="26" spans="1:5" ht="12.75">
      <c r="A26" s="885"/>
      <c r="B26" s="170" t="s">
        <v>558</v>
      </c>
      <c r="C26" s="587">
        <v>585</v>
      </c>
      <c r="D26" s="587">
        <v>4515</v>
      </c>
      <c r="E26" s="588">
        <v>26.826214</v>
      </c>
    </row>
    <row r="27" spans="1:5" ht="12.75">
      <c r="A27" s="885"/>
      <c r="B27" s="170" t="s">
        <v>559</v>
      </c>
      <c r="C27" s="587">
        <v>30</v>
      </c>
      <c r="D27" s="587">
        <v>109</v>
      </c>
      <c r="E27" s="588">
        <v>21.941054</v>
      </c>
    </row>
    <row r="28" spans="1:5" ht="12.75">
      <c r="A28" s="885"/>
      <c r="B28" s="171" t="s">
        <v>560</v>
      </c>
      <c r="C28" s="587">
        <v>7</v>
      </c>
      <c r="D28" s="587">
        <v>179</v>
      </c>
      <c r="E28" s="588">
        <v>86.350056</v>
      </c>
    </row>
    <row r="29" spans="1:5" ht="12.75">
      <c r="A29" s="885"/>
      <c r="B29" s="171" t="s">
        <v>561</v>
      </c>
      <c r="C29" s="587">
        <v>608</v>
      </c>
      <c r="D29" s="587">
        <v>4445</v>
      </c>
      <c r="E29" s="588">
        <v>24.073593</v>
      </c>
    </row>
    <row r="30" spans="1:5" ht="12.75">
      <c r="A30" s="885"/>
      <c r="B30" s="167" t="s">
        <v>562</v>
      </c>
      <c r="C30" s="587" t="s">
        <v>107</v>
      </c>
      <c r="D30" s="587">
        <v>4079</v>
      </c>
      <c r="E30" s="588">
        <v>26.897511</v>
      </c>
    </row>
    <row r="31" spans="1:5" ht="12.75">
      <c r="A31" s="885"/>
      <c r="B31" s="167" t="s">
        <v>563</v>
      </c>
      <c r="C31" s="587" t="s">
        <v>107</v>
      </c>
      <c r="D31" s="587">
        <v>545</v>
      </c>
      <c r="E31" s="588">
        <v>25.210407</v>
      </c>
    </row>
    <row r="32" spans="1:5" ht="12.75">
      <c r="A32" s="885"/>
      <c r="B32" s="171" t="s">
        <v>564</v>
      </c>
      <c r="C32" s="589">
        <v>615</v>
      </c>
      <c r="D32" s="589">
        <v>4624</v>
      </c>
      <c r="E32" s="574">
        <v>26.714379</v>
      </c>
    </row>
    <row r="33" spans="1:5" ht="12.75">
      <c r="A33" s="885">
        <v>11</v>
      </c>
      <c r="B33" s="168" t="s">
        <v>516</v>
      </c>
      <c r="C33" s="584" t="s">
        <v>107</v>
      </c>
      <c r="D33" s="585" t="s">
        <v>107</v>
      </c>
      <c r="E33" s="588">
        <v>0</v>
      </c>
    </row>
    <row r="34" spans="1:5" ht="12.75">
      <c r="A34" s="885"/>
      <c r="B34" s="170" t="s">
        <v>558</v>
      </c>
      <c r="C34" s="587">
        <v>385</v>
      </c>
      <c r="D34" s="587">
        <v>35523</v>
      </c>
      <c r="E34" s="588">
        <v>43.667207</v>
      </c>
    </row>
    <row r="35" spans="1:5" ht="12.75">
      <c r="A35" s="885"/>
      <c r="B35" s="170" t="s">
        <v>559</v>
      </c>
      <c r="C35" s="587">
        <v>73</v>
      </c>
      <c r="D35" s="587">
        <v>7275</v>
      </c>
      <c r="E35" s="588">
        <v>46.700242</v>
      </c>
    </row>
    <row r="36" spans="1:5" ht="12.75">
      <c r="A36" s="885"/>
      <c r="B36" s="171" t="s">
        <v>560</v>
      </c>
      <c r="C36" s="587">
        <v>22</v>
      </c>
      <c r="D36" s="587">
        <v>15689</v>
      </c>
      <c r="E36" s="588">
        <v>70.283793</v>
      </c>
    </row>
    <row r="37" spans="1:5" ht="12.75">
      <c r="A37" s="885"/>
      <c r="B37" s="171" t="s">
        <v>561</v>
      </c>
      <c r="C37" s="587">
        <v>436</v>
      </c>
      <c r="D37" s="587">
        <v>27109</v>
      </c>
      <c r="E37" s="588">
        <v>27.109965</v>
      </c>
    </row>
    <row r="38" spans="1:5" ht="12.75">
      <c r="A38" s="885"/>
      <c r="B38" s="167" t="s">
        <v>562</v>
      </c>
      <c r="C38" s="587" t="s">
        <v>107</v>
      </c>
      <c r="D38" s="587">
        <v>42503</v>
      </c>
      <c r="E38" s="588">
        <v>44.306105</v>
      </c>
    </row>
    <row r="39" spans="1:5" ht="12.75">
      <c r="A39" s="885"/>
      <c r="B39" s="167" t="s">
        <v>563</v>
      </c>
      <c r="C39" s="587" t="s">
        <v>107</v>
      </c>
      <c r="D39" s="587">
        <v>295</v>
      </c>
      <c r="E39" s="588">
        <v>28.07232</v>
      </c>
    </row>
    <row r="40" spans="1:5" ht="12.75">
      <c r="A40" s="885"/>
      <c r="B40" s="171" t="s">
        <v>564</v>
      </c>
      <c r="C40" s="589">
        <v>458</v>
      </c>
      <c r="D40" s="589">
        <v>42798</v>
      </c>
      <c r="E40" s="574">
        <v>44.198776</v>
      </c>
    </row>
    <row r="41" spans="1:5" ht="12.75">
      <c r="A41" s="885">
        <v>12</v>
      </c>
      <c r="B41" s="168" t="s">
        <v>517</v>
      </c>
      <c r="C41" s="584" t="s">
        <v>107</v>
      </c>
      <c r="D41" s="585" t="s">
        <v>107</v>
      </c>
      <c r="E41" s="588">
        <v>0</v>
      </c>
    </row>
    <row r="42" spans="1:5" ht="12.75">
      <c r="A42" s="885"/>
      <c r="B42" s="170" t="s">
        <v>558</v>
      </c>
      <c r="C42" s="587">
        <v>429</v>
      </c>
      <c r="D42" s="587">
        <v>11598</v>
      </c>
      <c r="E42" s="588">
        <v>33.512961</v>
      </c>
    </row>
    <row r="43" spans="1:5" ht="12.75">
      <c r="A43" s="885"/>
      <c r="B43" s="170" t="s">
        <v>559</v>
      </c>
      <c r="C43" s="587">
        <v>153</v>
      </c>
      <c r="D43" s="587">
        <v>3840</v>
      </c>
      <c r="E43" s="588">
        <v>25.345199</v>
      </c>
    </row>
    <row r="44" spans="1:5" ht="12.75">
      <c r="A44" s="885"/>
      <c r="B44" s="171" t="s">
        <v>560</v>
      </c>
      <c r="C44" s="587">
        <v>7</v>
      </c>
      <c r="D44" s="587">
        <v>474</v>
      </c>
      <c r="E44" s="588">
        <v>104.829016</v>
      </c>
    </row>
    <row r="45" spans="1:5" ht="12.75">
      <c r="A45" s="885"/>
      <c r="B45" s="171" t="s">
        <v>561</v>
      </c>
      <c r="C45" s="587">
        <v>575</v>
      </c>
      <c r="D45" s="587">
        <v>14964</v>
      </c>
      <c r="E45" s="588">
        <v>28.919408</v>
      </c>
    </row>
    <row r="46" spans="1:5" ht="12.75">
      <c r="A46" s="885"/>
      <c r="B46" s="167" t="s">
        <v>562</v>
      </c>
      <c r="C46" s="587" t="s">
        <v>107</v>
      </c>
      <c r="D46" s="587">
        <v>15072</v>
      </c>
      <c r="E46" s="588">
        <v>31.565296</v>
      </c>
    </row>
    <row r="47" spans="1:5" ht="12.75">
      <c r="A47" s="885"/>
      <c r="B47" s="167" t="s">
        <v>563</v>
      </c>
      <c r="C47" s="587" t="s">
        <v>107</v>
      </c>
      <c r="D47" s="587">
        <v>366</v>
      </c>
      <c r="E47" s="588">
        <v>27.75881</v>
      </c>
    </row>
    <row r="48" spans="1:5" ht="12.75">
      <c r="A48" s="885"/>
      <c r="B48" s="171" t="s">
        <v>564</v>
      </c>
      <c r="C48" s="589">
        <v>582</v>
      </c>
      <c r="D48" s="589">
        <v>15438</v>
      </c>
      <c r="E48" s="574">
        <v>31.478078</v>
      </c>
    </row>
    <row r="49" spans="1:5" ht="12.75">
      <c r="A49" s="885">
        <v>13</v>
      </c>
      <c r="B49" s="168" t="s">
        <v>518</v>
      </c>
      <c r="C49" s="584" t="s">
        <v>107</v>
      </c>
      <c r="D49" s="585" t="s">
        <v>107</v>
      </c>
      <c r="E49" s="588">
        <v>0</v>
      </c>
    </row>
    <row r="50" spans="1:5" ht="12.75">
      <c r="A50" s="885"/>
      <c r="B50" s="170" t="s">
        <v>558</v>
      </c>
      <c r="C50" s="587">
        <v>48</v>
      </c>
      <c r="D50" s="587">
        <v>2535</v>
      </c>
      <c r="E50" s="588">
        <v>77.966206</v>
      </c>
    </row>
    <row r="51" spans="1:5" ht="12.75">
      <c r="A51" s="885"/>
      <c r="B51" s="170" t="s">
        <v>559</v>
      </c>
      <c r="C51" s="587">
        <v>17</v>
      </c>
      <c r="D51" s="587">
        <v>635</v>
      </c>
      <c r="E51" s="588">
        <v>54.364123</v>
      </c>
    </row>
    <row r="52" spans="1:5" ht="12.75" customHeight="1">
      <c r="A52" s="885"/>
      <c r="B52" s="171" t="s">
        <v>560</v>
      </c>
      <c r="C52" s="587">
        <v>14</v>
      </c>
      <c r="D52" s="587">
        <v>2148</v>
      </c>
      <c r="E52" s="588">
        <v>82.443436</v>
      </c>
    </row>
    <row r="53" spans="1:5" ht="12.75">
      <c r="A53" s="885"/>
      <c r="B53" s="171" t="s">
        <v>561</v>
      </c>
      <c r="C53" s="587">
        <v>51</v>
      </c>
      <c r="D53" s="587">
        <v>1022</v>
      </c>
      <c r="E53" s="588">
        <v>53.423254</v>
      </c>
    </row>
    <row r="54" spans="1:5" ht="12.75">
      <c r="A54" s="885"/>
      <c r="B54" s="167" t="s">
        <v>562</v>
      </c>
      <c r="C54" s="587" t="s">
        <v>107</v>
      </c>
      <c r="D54" s="587">
        <v>3105</v>
      </c>
      <c r="E54" s="588">
        <v>73.578391</v>
      </c>
    </row>
    <row r="55" spans="1:5" ht="13.5" customHeight="1">
      <c r="A55" s="885"/>
      <c r="B55" s="167" t="s">
        <v>563</v>
      </c>
      <c r="C55" s="587" t="s">
        <v>107</v>
      </c>
      <c r="D55" s="587">
        <v>65</v>
      </c>
      <c r="E55" s="588">
        <v>60.974677</v>
      </c>
    </row>
    <row r="56" spans="1:5" ht="11.25" customHeight="1" thickBot="1">
      <c r="A56" s="886"/>
      <c r="B56" s="172" t="s">
        <v>564</v>
      </c>
      <c r="C56" s="541">
        <v>65</v>
      </c>
      <c r="D56" s="541">
        <v>3170</v>
      </c>
      <c r="E56" s="569">
        <v>73.327232</v>
      </c>
    </row>
    <row r="57" spans="1:5" ht="13.5" thickTop="1">
      <c r="A57" s="161"/>
      <c r="B57" s="162"/>
      <c r="C57" s="592"/>
      <c r="D57" s="163"/>
      <c r="E57" s="568" t="s">
        <v>107</v>
      </c>
    </row>
    <row r="58" spans="1:5" ht="12.75">
      <c r="A58" s="161"/>
      <c r="B58" s="162"/>
      <c r="C58" s="592"/>
      <c r="D58" s="163"/>
      <c r="E58" s="568"/>
    </row>
    <row r="59" spans="1:5" ht="13.5" thickBot="1">
      <c r="A59" s="161"/>
      <c r="B59" s="162"/>
      <c r="C59" s="592"/>
      <c r="D59" s="163"/>
      <c r="E59" s="568"/>
    </row>
    <row r="60" spans="1:5" ht="12.75" customHeight="1" thickTop="1">
      <c r="A60" s="881" t="s">
        <v>500</v>
      </c>
      <c r="B60" s="177" t="s">
        <v>107</v>
      </c>
      <c r="C60" s="593"/>
      <c r="D60" s="173" t="s">
        <v>501</v>
      </c>
      <c r="E60" s="562" t="s">
        <v>502</v>
      </c>
    </row>
    <row r="61" spans="1:5" ht="12.75">
      <c r="A61" s="882"/>
      <c r="B61" s="178" t="s">
        <v>503</v>
      </c>
      <c r="C61" s="594" t="s">
        <v>504</v>
      </c>
      <c r="D61" s="174" t="s">
        <v>505</v>
      </c>
      <c r="E61" s="563" t="s">
        <v>506</v>
      </c>
    </row>
    <row r="62" spans="1:5" ht="12.75">
      <c r="A62" s="882"/>
      <c r="B62" s="179" t="s">
        <v>507</v>
      </c>
      <c r="C62" s="595" t="s">
        <v>508</v>
      </c>
      <c r="D62" s="175" t="s">
        <v>509</v>
      </c>
      <c r="E62" s="563" t="s">
        <v>773</v>
      </c>
    </row>
    <row r="63" spans="1:5" ht="11.25" customHeight="1">
      <c r="A63" s="887"/>
      <c r="B63" s="181"/>
      <c r="C63" s="595" t="s">
        <v>510</v>
      </c>
      <c r="D63" s="175" t="s">
        <v>511</v>
      </c>
      <c r="E63" s="564" t="s">
        <v>512</v>
      </c>
    </row>
    <row r="64" spans="1:5" ht="12" customHeight="1">
      <c r="A64" s="885">
        <v>14</v>
      </c>
      <c r="B64" s="168" t="s">
        <v>519</v>
      </c>
      <c r="C64" s="584" t="s">
        <v>107</v>
      </c>
      <c r="D64" s="169" t="s">
        <v>107</v>
      </c>
      <c r="E64" s="566">
        <v>0</v>
      </c>
    </row>
    <row r="65" spans="1:5" ht="12" customHeight="1">
      <c r="A65" s="885"/>
      <c r="B65" s="170" t="s">
        <v>558</v>
      </c>
      <c r="C65" s="587">
        <v>2519</v>
      </c>
      <c r="D65" s="256">
        <v>33855</v>
      </c>
      <c r="E65" s="566">
        <v>22.632049</v>
      </c>
    </row>
    <row r="66" spans="1:5" ht="12" customHeight="1">
      <c r="A66" s="885"/>
      <c r="B66" s="170" t="s">
        <v>559</v>
      </c>
      <c r="C66" s="587">
        <v>591</v>
      </c>
      <c r="D66" s="256">
        <v>7859</v>
      </c>
      <c r="E66" s="566">
        <v>21.859802</v>
      </c>
    </row>
    <row r="67" spans="1:5" ht="12" customHeight="1">
      <c r="A67" s="885"/>
      <c r="B67" s="171" t="s">
        <v>560</v>
      </c>
      <c r="C67" s="587">
        <v>26</v>
      </c>
      <c r="D67" s="256">
        <v>343</v>
      </c>
      <c r="E67" s="566">
        <v>42.659169</v>
      </c>
    </row>
    <row r="68" spans="1:5" ht="12" customHeight="1">
      <c r="A68" s="885"/>
      <c r="B68" s="171" t="s">
        <v>561</v>
      </c>
      <c r="C68" s="587">
        <v>3084</v>
      </c>
      <c r="D68" s="256">
        <v>41371</v>
      </c>
      <c r="E68" s="566">
        <v>22.299219</v>
      </c>
    </row>
    <row r="69" spans="1:5" ht="12" customHeight="1">
      <c r="A69" s="885"/>
      <c r="B69" s="167" t="s">
        <v>562</v>
      </c>
      <c r="C69" s="587" t="s">
        <v>107</v>
      </c>
      <c r="D69" s="256">
        <v>40767</v>
      </c>
      <c r="E69" s="566">
        <v>22.513331</v>
      </c>
    </row>
    <row r="70" spans="1:5" ht="12" customHeight="1">
      <c r="A70" s="885"/>
      <c r="B70" s="167" t="s">
        <v>563</v>
      </c>
      <c r="C70" s="587" t="s">
        <v>107</v>
      </c>
      <c r="D70" s="256">
        <v>947</v>
      </c>
      <c r="E70" s="566">
        <v>21.55999</v>
      </c>
    </row>
    <row r="71" spans="1:5" ht="12" customHeight="1">
      <c r="A71" s="885"/>
      <c r="B71" s="171" t="s">
        <v>564</v>
      </c>
      <c r="C71" s="589">
        <v>3110</v>
      </c>
      <c r="D71" s="540">
        <v>41714</v>
      </c>
      <c r="E71" s="567">
        <v>22.491614</v>
      </c>
    </row>
    <row r="72" spans="1:5" ht="12" customHeight="1">
      <c r="A72" s="885">
        <v>19</v>
      </c>
      <c r="B72" s="168" t="s">
        <v>520</v>
      </c>
      <c r="C72" s="584" t="s">
        <v>107</v>
      </c>
      <c r="D72" s="169" t="s">
        <v>107</v>
      </c>
      <c r="E72" s="566">
        <v>0</v>
      </c>
    </row>
    <row r="73" spans="1:5" ht="12" customHeight="1">
      <c r="A73" s="885"/>
      <c r="B73" s="170" t="s">
        <v>558</v>
      </c>
      <c r="C73" s="587">
        <v>397</v>
      </c>
      <c r="D73" s="256">
        <v>7667</v>
      </c>
      <c r="E73" s="566">
        <v>43.216196</v>
      </c>
    </row>
    <row r="74" spans="1:5" ht="12" customHeight="1">
      <c r="A74" s="885"/>
      <c r="B74" s="170" t="s">
        <v>559</v>
      </c>
      <c r="C74" s="587">
        <v>118</v>
      </c>
      <c r="D74" s="256">
        <v>3427</v>
      </c>
      <c r="E74" s="566">
        <v>42.709857</v>
      </c>
    </row>
    <row r="75" spans="1:5" ht="12" customHeight="1">
      <c r="A75" s="885"/>
      <c r="B75" s="171" t="s">
        <v>560</v>
      </c>
      <c r="C75" s="587">
        <v>27</v>
      </c>
      <c r="D75" s="256">
        <v>1331</v>
      </c>
      <c r="E75" s="566">
        <v>82.641201</v>
      </c>
    </row>
    <row r="76" spans="1:5" ht="12" customHeight="1">
      <c r="A76" s="885"/>
      <c r="B76" s="171" t="s">
        <v>561</v>
      </c>
      <c r="C76" s="587">
        <v>488</v>
      </c>
      <c r="D76" s="256">
        <v>9763</v>
      </c>
      <c r="E76" s="566">
        <v>37.450214</v>
      </c>
    </row>
    <row r="77" spans="1:5" ht="12" customHeight="1">
      <c r="A77" s="885"/>
      <c r="B77" s="167" t="s">
        <v>562</v>
      </c>
      <c r="C77" s="587" t="s">
        <v>107</v>
      </c>
      <c r="D77" s="256">
        <v>10269</v>
      </c>
      <c r="E77" s="566">
        <v>43.409635</v>
      </c>
    </row>
    <row r="78" spans="1:5" ht="12" customHeight="1">
      <c r="A78" s="885"/>
      <c r="B78" s="167" t="s">
        <v>563</v>
      </c>
      <c r="C78" s="587" t="s">
        <v>107</v>
      </c>
      <c r="D78" s="256">
        <v>825</v>
      </c>
      <c r="E78" s="566">
        <v>37.96866</v>
      </c>
    </row>
    <row r="79" spans="1:5" ht="12" customHeight="1">
      <c r="A79" s="885"/>
      <c r="B79" s="171" t="s">
        <v>564</v>
      </c>
      <c r="C79" s="589">
        <v>515</v>
      </c>
      <c r="D79" s="542">
        <v>11094</v>
      </c>
      <c r="E79" s="567">
        <v>43.066313</v>
      </c>
    </row>
    <row r="80" spans="1:5" ht="12" customHeight="1">
      <c r="A80" s="885">
        <v>20</v>
      </c>
      <c r="B80" s="168" t="s">
        <v>521</v>
      </c>
      <c r="C80" s="584" t="s">
        <v>107</v>
      </c>
      <c r="D80" s="169" t="s">
        <v>107</v>
      </c>
      <c r="E80" s="566">
        <v>0</v>
      </c>
    </row>
    <row r="81" spans="1:5" ht="12" customHeight="1">
      <c r="A81" s="885"/>
      <c r="B81" s="170" t="s">
        <v>558</v>
      </c>
      <c r="C81" s="587">
        <v>31552</v>
      </c>
      <c r="D81" s="256">
        <v>284644</v>
      </c>
      <c r="E81" s="566">
        <v>30.486549</v>
      </c>
    </row>
    <row r="82" spans="1:5" ht="12" customHeight="1">
      <c r="A82" s="885"/>
      <c r="B82" s="170" t="s">
        <v>559</v>
      </c>
      <c r="C82" s="587">
        <v>477</v>
      </c>
      <c r="D82" s="256">
        <v>7650</v>
      </c>
      <c r="E82" s="566">
        <v>25.30313</v>
      </c>
    </row>
    <row r="83" spans="1:5" ht="12" customHeight="1">
      <c r="A83" s="885"/>
      <c r="B83" s="171" t="s">
        <v>560</v>
      </c>
      <c r="C83" s="587">
        <v>328</v>
      </c>
      <c r="D83" s="256">
        <v>29336</v>
      </c>
      <c r="E83" s="566">
        <v>55.800312</v>
      </c>
    </row>
    <row r="84" spans="1:5" ht="12" customHeight="1">
      <c r="A84" s="885"/>
      <c r="B84" s="171" t="s">
        <v>561</v>
      </c>
      <c r="C84" s="587">
        <v>31701</v>
      </c>
      <c r="D84" s="256">
        <v>262958</v>
      </c>
      <c r="E84" s="566">
        <v>27.482854</v>
      </c>
    </row>
    <row r="85" spans="1:5" ht="12" customHeight="1">
      <c r="A85" s="885"/>
      <c r="B85" s="167" t="s">
        <v>562</v>
      </c>
      <c r="C85" s="587" t="s">
        <v>107</v>
      </c>
      <c r="D85" s="256">
        <v>232676</v>
      </c>
      <c r="E85" s="566">
        <v>31.187833</v>
      </c>
    </row>
    <row r="86" spans="1:5" ht="12" customHeight="1">
      <c r="A86" s="885"/>
      <c r="B86" s="167" t="s">
        <v>563</v>
      </c>
      <c r="C86" s="587" t="s">
        <v>107</v>
      </c>
      <c r="D86" s="256">
        <v>59618</v>
      </c>
      <c r="E86" s="566">
        <v>26.748055</v>
      </c>
    </row>
    <row r="87" spans="1:5" ht="12" customHeight="1">
      <c r="A87" s="885"/>
      <c r="B87" s="171" t="s">
        <v>564</v>
      </c>
      <c r="C87" s="589">
        <v>32029</v>
      </c>
      <c r="D87" s="542">
        <v>292294</v>
      </c>
      <c r="E87" s="567">
        <v>30.372589</v>
      </c>
    </row>
    <row r="88" spans="1:5" ht="12" customHeight="1">
      <c r="A88" s="885">
        <v>21</v>
      </c>
      <c r="B88" s="168" t="s">
        <v>522</v>
      </c>
      <c r="C88" s="584" t="s">
        <v>107</v>
      </c>
      <c r="D88" s="169" t="s">
        <v>107</v>
      </c>
      <c r="E88" s="566">
        <v>0</v>
      </c>
    </row>
    <row r="89" spans="1:5" ht="12" customHeight="1">
      <c r="A89" s="885"/>
      <c r="B89" s="170" t="s">
        <v>558</v>
      </c>
      <c r="C89" s="587">
        <v>436</v>
      </c>
      <c r="D89" s="256">
        <v>9972</v>
      </c>
      <c r="E89" s="566">
        <v>51.538353</v>
      </c>
    </row>
    <row r="90" spans="1:5" ht="12" customHeight="1">
      <c r="A90" s="885"/>
      <c r="B90" s="170" t="s">
        <v>559</v>
      </c>
      <c r="C90" s="587">
        <v>5</v>
      </c>
      <c r="D90" s="256">
        <v>128</v>
      </c>
      <c r="E90" s="566">
        <v>22.607792</v>
      </c>
    </row>
    <row r="91" spans="1:5" ht="12" customHeight="1">
      <c r="A91" s="885"/>
      <c r="B91" s="171" t="s">
        <v>560</v>
      </c>
      <c r="C91" s="587">
        <v>9</v>
      </c>
      <c r="D91" s="256">
        <v>364</v>
      </c>
      <c r="E91" s="566">
        <v>35.606061</v>
      </c>
    </row>
    <row r="92" spans="1:5" ht="12" customHeight="1">
      <c r="A92" s="885"/>
      <c r="B92" s="171" t="s">
        <v>561</v>
      </c>
      <c r="C92" s="587">
        <v>432</v>
      </c>
      <c r="D92" s="256">
        <v>9736</v>
      </c>
      <c r="E92" s="566">
        <v>51.761163</v>
      </c>
    </row>
    <row r="93" spans="1:5" ht="12" customHeight="1">
      <c r="A93" s="885"/>
      <c r="B93" s="167" t="s">
        <v>562</v>
      </c>
      <c r="C93" s="587" t="s">
        <v>107</v>
      </c>
      <c r="D93" s="256">
        <v>8832</v>
      </c>
      <c r="E93" s="566">
        <v>52.292718</v>
      </c>
    </row>
    <row r="94" spans="1:5" ht="12" customHeight="1">
      <c r="A94" s="885"/>
      <c r="B94" s="167" t="s">
        <v>563</v>
      </c>
      <c r="C94" s="587" t="s">
        <v>107</v>
      </c>
      <c r="D94" s="256">
        <v>1268</v>
      </c>
      <c r="E94" s="566">
        <v>42.959802</v>
      </c>
    </row>
    <row r="95" spans="1:5" ht="12" customHeight="1">
      <c r="A95" s="885"/>
      <c r="B95" s="171" t="s">
        <v>564</v>
      </c>
      <c r="C95" s="589">
        <v>441</v>
      </c>
      <c r="D95" s="542">
        <v>10100</v>
      </c>
      <c r="E95" s="567">
        <v>51.15823</v>
      </c>
    </row>
    <row r="96" spans="1:5" ht="12" customHeight="1">
      <c r="A96" s="885">
        <v>22</v>
      </c>
      <c r="B96" s="168" t="s">
        <v>523</v>
      </c>
      <c r="C96" s="584" t="s">
        <v>107</v>
      </c>
      <c r="D96" s="169" t="s">
        <v>107</v>
      </c>
      <c r="E96" s="566">
        <v>0</v>
      </c>
    </row>
    <row r="97" spans="1:5" ht="12" customHeight="1">
      <c r="A97" s="885"/>
      <c r="B97" s="170" t="s">
        <v>558</v>
      </c>
      <c r="C97" s="587">
        <v>100</v>
      </c>
      <c r="D97" s="256">
        <v>14143</v>
      </c>
      <c r="E97" s="566">
        <v>76.370911</v>
      </c>
    </row>
    <row r="98" spans="1:5" ht="12" customHeight="1">
      <c r="A98" s="885"/>
      <c r="B98" s="170" t="s">
        <v>559</v>
      </c>
      <c r="C98" s="587">
        <v>23</v>
      </c>
      <c r="D98" s="256">
        <v>4605</v>
      </c>
      <c r="E98" s="566">
        <v>59.856444</v>
      </c>
    </row>
    <row r="99" spans="1:5" ht="12" customHeight="1">
      <c r="A99" s="885"/>
      <c r="B99" s="171" t="s">
        <v>560</v>
      </c>
      <c r="C99" s="587">
        <v>69</v>
      </c>
      <c r="D99" s="256">
        <v>10774</v>
      </c>
      <c r="E99" s="566">
        <v>77.359002</v>
      </c>
    </row>
    <row r="100" spans="1:5" ht="12" customHeight="1">
      <c r="A100" s="885"/>
      <c r="B100" s="171" t="s">
        <v>561</v>
      </c>
      <c r="C100" s="587">
        <v>54</v>
      </c>
      <c r="D100" s="256">
        <v>7974</v>
      </c>
      <c r="E100" s="566">
        <v>65.61319</v>
      </c>
    </row>
    <row r="101" spans="1:5" ht="12" customHeight="1">
      <c r="A101" s="885"/>
      <c r="B101" s="167" t="s">
        <v>562</v>
      </c>
      <c r="C101" s="587" t="s">
        <v>107</v>
      </c>
      <c r="D101" s="256">
        <v>11467</v>
      </c>
      <c r="E101" s="566">
        <v>78.478135</v>
      </c>
    </row>
    <row r="102" spans="1:5" ht="12" customHeight="1">
      <c r="A102" s="885"/>
      <c r="B102" s="167" t="s">
        <v>563</v>
      </c>
      <c r="C102" s="587" t="s">
        <v>107</v>
      </c>
      <c r="D102" s="256">
        <v>7281</v>
      </c>
      <c r="E102" s="566">
        <v>62.484716</v>
      </c>
    </row>
    <row r="103" spans="1:5" ht="12" customHeight="1">
      <c r="A103" s="885"/>
      <c r="B103" s="171" t="s">
        <v>564</v>
      </c>
      <c r="C103" s="589">
        <v>123</v>
      </c>
      <c r="D103" s="542">
        <v>18748</v>
      </c>
      <c r="E103" s="567">
        <v>72.702252</v>
      </c>
    </row>
    <row r="104" spans="1:5" ht="12" customHeight="1">
      <c r="A104" s="885">
        <v>23</v>
      </c>
      <c r="B104" s="168" t="s">
        <v>524</v>
      </c>
      <c r="C104" s="584" t="s">
        <v>107</v>
      </c>
      <c r="D104" s="169" t="s">
        <v>107</v>
      </c>
      <c r="E104" s="566">
        <v>0</v>
      </c>
    </row>
    <row r="105" spans="1:5" ht="12" customHeight="1">
      <c r="A105" s="885"/>
      <c r="B105" s="170" t="s">
        <v>558</v>
      </c>
      <c r="C105" s="587">
        <v>12820</v>
      </c>
      <c r="D105" s="256">
        <v>369381</v>
      </c>
      <c r="E105" s="566">
        <v>25.024627</v>
      </c>
    </row>
    <row r="106" spans="1:5" ht="12" customHeight="1">
      <c r="A106" s="885"/>
      <c r="B106" s="170" t="s">
        <v>559</v>
      </c>
      <c r="C106" s="587">
        <v>204</v>
      </c>
      <c r="D106" s="256">
        <v>2556</v>
      </c>
      <c r="E106" s="566">
        <v>24.510146</v>
      </c>
    </row>
    <row r="107" spans="1:5" ht="12" customHeight="1">
      <c r="A107" s="885"/>
      <c r="B107" s="171" t="s">
        <v>560</v>
      </c>
      <c r="C107" s="587">
        <v>73</v>
      </c>
      <c r="D107" s="256">
        <v>675</v>
      </c>
      <c r="E107" s="566">
        <v>42.060625</v>
      </c>
    </row>
    <row r="108" spans="1:5" ht="12" customHeight="1">
      <c r="A108" s="885"/>
      <c r="B108" s="171" t="s">
        <v>561</v>
      </c>
      <c r="C108" s="587">
        <v>12951</v>
      </c>
      <c r="D108" s="256">
        <v>371262</v>
      </c>
      <c r="E108" s="566">
        <v>25.000175</v>
      </c>
    </row>
    <row r="109" spans="1:5" ht="12" customHeight="1">
      <c r="A109" s="885"/>
      <c r="B109" s="167" t="s">
        <v>562</v>
      </c>
      <c r="C109" s="587" t="s">
        <v>107</v>
      </c>
      <c r="D109" s="256">
        <v>273409</v>
      </c>
      <c r="E109" s="566">
        <v>25.416766</v>
      </c>
    </row>
    <row r="110" spans="1:5" ht="12" customHeight="1">
      <c r="A110" s="885"/>
      <c r="B110" s="167" t="s">
        <v>563</v>
      </c>
      <c r="C110" s="587" t="s">
        <v>107</v>
      </c>
      <c r="D110" s="256">
        <v>98528</v>
      </c>
      <c r="E110" s="566">
        <v>23.887682</v>
      </c>
    </row>
    <row r="111" spans="1:5" ht="12" customHeight="1">
      <c r="A111" s="885"/>
      <c r="B111" s="171" t="s">
        <v>564</v>
      </c>
      <c r="C111" s="589">
        <v>13024</v>
      </c>
      <c r="D111" s="542">
        <v>371937</v>
      </c>
      <c r="E111" s="567">
        <v>25.021269</v>
      </c>
    </row>
    <row r="112" spans="1:5" ht="12" customHeight="1">
      <c r="A112" s="885">
        <v>24</v>
      </c>
      <c r="B112" s="168" t="s">
        <v>525</v>
      </c>
      <c r="C112" s="584" t="s">
        <v>107</v>
      </c>
      <c r="D112" s="169" t="s">
        <v>107</v>
      </c>
      <c r="E112" s="566">
        <v>0</v>
      </c>
    </row>
    <row r="113" spans="1:5" ht="12" customHeight="1">
      <c r="A113" s="885"/>
      <c r="B113" s="170" t="s">
        <v>558</v>
      </c>
      <c r="C113" s="587">
        <v>32043</v>
      </c>
      <c r="D113" s="256">
        <v>433362</v>
      </c>
      <c r="E113" s="566">
        <v>22.458673</v>
      </c>
    </row>
    <row r="114" spans="1:5" ht="12" customHeight="1">
      <c r="A114" s="885"/>
      <c r="B114" s="170" t="s">
        <v>559</v>
      </c>
      <c r="C114" s="587">
        <v>153</v>
      </c>
      <c r="D114" s="256">
        <v>1994</v>
      </c>
      <c r="E114" s="566">
        <v>37.910219</v>
      </c>
    </row>
    <row r="115" spans="1:5" ht="12" customHeight="1">
      <c r="A115" s="885"/>
      <c r="B115" s="171" t="s">
        <v>560</v>
      </c>
      <c r="C115" s="587">
        <v>250</v>
      </c>
      <c r="D115" s="256">
        <v>6034</v>
      </c>
      <c r="E115" s="566">
        <v>57.839038</v>
      </c>
    </row>
    <row r="116" spans="1:5" ht="12" customHeight="1">
      <c r="A116" s="885"/>
      <c r="B116" s="171" t="s">
        <v>561</v>
      </c>
      <c r="C116" s="587">
        <v>31946</v>
      </c>
      <c r="D116" s="256">
        <v>429322</v>
      </c>
      <c r="E116" s="566">
        <v>22.11408</v>
      </c>
    </row>
    <row r="117" spans="1:5" ht="12" customHeight="1">
      <c r="A117" s="885"/>
      <c r="B117" s="167" t="s">
        <v>562</v>
      </c>
      <c r="C117" s="587" t="s">
        <v>107</v>
      </c>
      <c r="D117" s="256">
        <v>239630</v>
      </c>
      <c r="E117" s="566">
        <v>22.618936</v>
      </c>
    </row>
    <row r="118" spans="1:5" ht="12" customHeight="1">
      <c r="A118" s="885"/>
      <c r="B118" s="167" t="s">
        <v>563</v>
      </c>
      <c r="C118" s="587" t="s">
        <v>107</v>
      </c>
      <c r="D118" s="256">
        <v>195726</v>
      </c>
      <c r="E118" s="566">
        <v>22.360502</v>
      </c>
    </row>
    <row r="119" spans="1:5" ht="12" customHeight="1" thickBot="1">
      <c r="A119" s="886"/>
      <c r="B119" s="172" t="s">
        <v>564</v>
      </c>
      <c r="C119" s="541">
        <v>32196</v>
      </c>
      <c r="D119" s="541">
        <v>435356</v>
      </c>
      <c r="E119" s="569">
        <v>22.50448</v>
      </c>
    </row>
    <row r="120" spans="1:4" ht="13.5" thickTop="1">
      <c r="A120" s="164"/>
      <c r="B120" s="164"/>
      <c r="C120" s="596"/>
      <c r="D120" s="164"/>
    </row>
    <row r="121" spans="1:4" ht="12.75">
      <c r="A121" s="164"/>
      <c r="B121" s="164"/>
      <c r="C121" s="596"/>
      <c r="D121" s="164"/>
    </row>
    <row r="122" spans="1:4" ht="12.75">
      <c r="A122" s="164"/>
      <c r="B122" s="164"/>
      <c r="C122" s="596"/>
      <c r="D122" s="164"/>
    </row>
    <row r="123" spans="1:4" ht="13.5" thickBot="1">
      <c r="A123" s="164"/>
      <c r="B123" s="164"/>
      <c r="C123" s="596"/>
      <c r="D123" s="164"/>
    </row>
    <row r="124" spans="1:5" ht="12.75" customHeight="1" thickTop="1">
      <c r="A124" s="881" t="s">
        <v>500</v>
      </c>
      <c r="B124" s="177" t="s">
        <v>107</v>
      </c>
      <c r="C124" s="593"/>
      <c r="D124" s="173" t="s">
        <v>501</v>
      </c>
      <c r="E124" s="562" t="s">
        <v>502</v>
      </c>
    </row>
    <row r="125" spans="1:5" ht="12.75">
      <c r="A125" s="882"/>
      <c r="B125" s="178" t="s">
        <v>503</v>
      </c>
      <c r="C125" s="594" t="s">
        <v>504</v>
      </c>
      <c r="D125" s="174" t="s">
        <v>505</v>
      </c>
      <c r="E125" s="563" t="s">
        <v>506</v>
      </c>
    </row>
    <row r="126" spans="1:5" ht="12.75">
      <c r="A126" s="882"/>
      <c r="B126" s="179" t="s">
        <v>507</v>
      </c>
      <c r="C126" s="595" t="s">
        <v>508</v>
      </c>
      <c r="D126" s="175" t="s">
        <v>509</v>
      </c>
      <c r="E126" s="563" t="s">
        <v>773</v>
      </c>
    </row>
    <row r="127" spans="1:5" ht="11.25" customHeight="1">
      <c r="A127" s="887"/>
      <c r="B127" s="181"/>
      <c r="C127" s="595" t="s">
        <v>510</v>
      </c>
      <c r="D127" s="175" t="s">
        <v>511</v>
      </c>
      <c r="E127" s="564" t="s">
        <v>512</v>
      </c>
    </row>
    <row r="128" spans="1:5" ht="12" customHeight="1">
      <c r="A128" s="885">
        <v>25</v>
      </c>
      <c r="B128" s="168" t="s">
        <v>526</v>
      </c>
      <c r="C128" s="584" t="s">
        <v>107</v>
      </c>
      <c r="D128" s="169" t="s">
        <v>107</v>
      </c>
      <c r="E128" s="566">
        <v>0</v>
      </c>
    </row>
    <row r="129" spans="1:5" ht="12" customHeight="1">
      <c r="A129" s="885"/>
      <c r="B129" s="170" t="s">
        <v>558</v>
      </c>
      <c r="C129" s="587">
        <v>11216</v>
      </c>
      <c r="D129" s="256">
        <v>56247</v>
      </c>
      <c r="E129" s="566">
        <v>22.691804</v>
      </c>
    </row>
    <row r="130" spans="1:5" ht="12" customHeight="1">
      <c r="A130" s="885"/>
      <c r="B130" s="170" t="s">
        <v>559</v>
      </c>
      <c r="C130" s="587">
        <v>78</v>
      </c>
      <c r="D130" s="256">
        <v>595</v>
      </c>
      <c r="E130" s="566">
        <v>24.331743</v>
      </c>
    </row>
    <row r="131" spans="1:5" ht="12" customHeight="1">
      <c r="A131" s="885"/>
      <c r="B131" s="171" t="s">
        <v>560</v>
      </c>
      <c r="C131" s="587">
        <v>52</v>
      </c>
      <c r="D131" s="256">
        <v>859</v>
      </c>
      <c r="E131" s="566">
        <v>65.917683</v>
      </c>
    </row>
    <row r="132" spans="1:5" ht="12" customHeight="1">
      <c r="A132" s="885"/>
      <c r="B132" s="171" t="s">
        <v>561</v>
      </c>
      <c r="C132" s="587">
        <v>11242</v>
      </c>
      <c r="D132" s="256">
        <v>55983</v>
      </c>
      <c r="E132" s="566">
        <v>22.058607</v>
      </c>
    </row>
    <row r="133" spans="1:5" ht="12" customHeight="1">
      <c r="A133" s="885"/>
      <c r="B133" s="167" t="s">
        <v>562</v>
      </c>
      <c r="C133" s="587" t="s">
        <v>107</v>
      </c>
      <c r="D133" s="256">
        <v>52798</v>
      </c>
      <c r="E133" s="566">
        <v>22.654608</v>
      </c>
    </row>
    <row r="134" spans="1:5" ht="12" customHeight="1">
      <c r="A134" s="885"/>
      <c r="B134" s="167" t="s">
        <v>563</v>
      </c>
      <c r="C134" s="587" t="s">
        <v>107</v>
      </c>
      <c r="D134" s="256">
        <v>4044</v>
      </c>
      <c r="E134" s="566">
        <v>23.397963</v>
      </c>
    </row>
    <row r="135" spans="1:5" ht="12" customHeight="1">
      <c r="A135" s="885"/>
      <c r="B135" s="171" t="s">
        <v>564</v>
      </c>
      <c r="C135" s="589">
        <v>11294</v>
      </c>
      <c r="D135" s="540">
        <v>56842</v>
      </c>
      <c r="E135" s="567">
        <v>22.706285</v>
      </c>
    </row>
    <row r="136" spans="1:5" ht="12" customHeight="1">
      <c r="A136" s="885">
        <v>26</v>
      </c>
      <c r="B136" s="168" t="s">
        <v>527</v>
      </c>
      <c r="C136" s="584" t="s">
        <v>107</v>
      </c>
      <c r="D136" s="169" t="s">
        <v>107</v>
      </c>
      <c r="E136" s="566">
        <v>0</v>
      </c>
    </row>
    <row r="137" spans="1:5" ht="12" customHeight="1">
      <c r="A137" s="885"/>
      <c r="B137" s="170" t="s">
        <v>558</v>
      </c>
      <c r="C137" s="587">
        <v>15927</v>
      </c>
      <c r="D137" s="256">
        <v>102748</v>
      </c>
      <c r="E137" s="566">
        <v>22.632114</v>
      </c>
    </row>
    <row r="138" spans="1:5" ht="12" customHeight="1">
      <c r="A138" s="885"/>
      <c r="B138" s="170" t="s">
        <v>559</v>
      </c>
      <c r="C138" s="587">
        <v>30</v>
      </c>
      <c r="D138" s="256">
        <v>181</v>
      </c>
      <c r="E138" s="566">
        <v>23.022589</v>
      </c>
    </row>
    <row r="139" spans="1:5" ht="12" customHeight="1">
      <c r="A139" s="885"/>
      <c r="B139" s="171" t="s">
        <v>560</v>
      </c>
      <c r="C139" s="587">
        <v>21</v>
      </c>
      <c r="D139" s="256">
        <v>875</v>
      </c>
      <c r="E139" s="566">
        <v>58.972375</v>
      </c>
    </row>
    <row r="140" spans="1:5" ht="12" customHeight="1">
      <c r="A140" s="885"/>
      <c r="B140" s="171" t="s">
        <v>561</v>
      </c>
      <c r="C140" s="587">
        <v>15936</v>
      </c>
      <c r="D140" s="256">
        <v>102054</v>
      </c>
      <c r="E140" s="566">
        <v>22.327595</v>
      </c>
    </row>
    <row r="141" spans="1:5" ht="12" customHeight="1">
      <c r="A141" s="885"/>
      <c r="B141" s="167" t="s">
        <v>562</v>
      </c>
      <c r="C141" s="587" t="s">
        <v>107</v>
      </c>
      <c r="D141" s="256">
        <v>94808</v>
      </c>
      <c r="E141" s="566">
        <v>22.523992</v>
      </c>
    </row>
    <row r="142" spans="1:5" ht="12" customHeight="1">
      <c r="A142" s="885"/>
      <c r="B142" s="167" t="s">
        <v>563</v>
      </c>
      <c r="C142" s="587" t="s">
        <v>107</v>
      </c>
      <c r="D142" s="256">
        <v>8121</v>
      </c>
      <c r="E142" s="566">
        <v>23.902902</v>
      </c>
    </row>
    <row r="143" spans="1:5" ht="12" customHeight="1">
      <c r="A143" s="885"/>
      <c r="B143" s="171" t="s">
        <v>564</v>
      </c>
      <c r="C143" s="589">
        <v>15957</v>
      </c>
      <c r="D143" s="540">
        <v>102929</v>
      </c>
      <c r="E143" s="567">
        <v>22.632684</v>
      </c>
    </row>
    <row r="144" spans="1:5" ht="12" customHeight="1">
      <c r="A144" s="885">
        <v>27</v>
      </c>
      <c r="B144" s="168" t="s">
        <v>528</v>
      </c>
      <c r="C144" s="584" t="s">
        <v>107</v>
      </c>
      <c r="D144" s="169" t="s">
        <v>107</v>
      </c>
      <c r="E144" s="566">
        <v>0</v>
      </c>
    </row>
    <row r="145" spans="1:5" ht="12" customHeight="1">
      <c r="A145" s="885"/>
      <c r="B145" s="170" t="s">
        <v>558</v>
      </c>
      <c r="C145" s="587">
        <v>1713</v>
      </c>
      <c r="D145" s="256">
        <v>33064</v>
      </c>
      <c r="E145" s="566">
        <v>34.956281</v>
      </c>
    </row>
    <row r="146" spans="1:5" ht="12" customHeight="1">
      <c r="A146" s="885"/>
      <c r="B146" s="170" t="s">
        <v>559</v>
      </c>
      <c r="C146" s="587">
        <v>7</v>
      </c>
      <c r="D146" s="256">
        <v>255</v>
      </c>
      <c r="E146" s="566">
        <v>20.841222</v>
      </c>
    </row>
    <row r="147" spans="1:5" ht="12" customHeight="1">
      <c r="A147" s="885"/>
      <c r="B147" s="171" t="s">
        <v>560</v>
      </c>
      <c r="C147" s="587">
        <v>3</v>
      </c>
      <c r="D147" s="256">
        <v>272</v>
      </c>
      <c r="E147" s="566">
        <v>53.517153</v>
      </c>
    </row>
    <row r="148" spans="1:5" ht="12" customHeight="1">
      <c r="A148" s="885"/>
      <c r="B148" s="171" t="s">
        <v>561</v>
      </c>
      <c r="C148" s="587">
        <v>1717</v>
      </c>
      <c r="D148" s="256">
        <v>33047</v>
      </c>
      <c r="E148" s="566">
        <v>34.699701</v>
      </c>
    </row>
    <row r="149" spans="1:5" ht="12" customHeight="1">
      <c r="A149" s="885"/>
      <c r="B149" s="167" t="s">
        <v>562</v>
      </c>
      <c r="C149" s="587" t="s">
        <v>107</v>
      </c>
      <c r="D149" s="256">
        <v>27286</v>
      </c>
      <c r="E149" s="566">
        <v>36.161662</v>
      </c>
    </row>
    <row r="150" spans="1:5" ht="12" customHeight="1">
      <c r="A150" s="885"/>
      <c r="B150" s="167" t="s">
        <v>563</v>
      </c>
      <c r="C150" s="587" t="s">
        <v>107</v>
      </c>
      <c r="D150" s="256">
        <v>6033</v>
      </c>
      <c r="E150" s="566">
        <v>28.666425</v>
      </c>
    </row>
    <row r="151" spans="1:5" ht="12" customHeight="1">
      <c r="A151" s="885"/>
      <c r="B151" s="171" t="s">
        <v>564</v>
      </c>
      <c r="C151" s="589">
        <v>1720</v>
      </c>
      <c r="D151" s="540">
        <v>33319</v>
      </c>
      <c r="E151" s="567">
        <v>34.849509</v>
      </c>
    </row>
    <row r="152" spans="1:5" ht="12" customHeight="1">
      <c r="A152" s="885">
        <v>28</v>
      </c>
      <c r="B152" s="168" t="s">
        <v>529</v>
      </c>
      <c r="C152" s="584" t="s">
        <v>107</v>
      </c>
      <c r="D152" s="169" t="s">
        <v>107</v>
      </c>
      <c r="E152" s="566">
        <v>0</v>
      </c>
    </row>
    <row r="153" spans="1:5" ht="12" customHeight="1">
      <c r="A153" s="885"/>
      <c r="B153" s="170" t="s">
        <v>558</v>
      </c>
      <c r="C153" s="587">
        <v>8985</v>
      </c>
      <c r="D153" s="256">
        <v>69779</v>
      </c>
      <c r="E153" s="566">
        <v>31.132738</v>
      </c>
    </row>
    <row r="154" spans="1:5" ht="12" customHeight="1">
      <c r="A154" s="885"/>
      <c r="B154" s="170" t="s">
        <v>559</v>
      </c>
      <c r="C154" s="587">
        <v>13</v>
      </c>
      <c r="D154" s="256">
        <v>79</v>
      </c>
      <c r="E154" s="566">
        <v>39.48224</v>
      </c>
    </row>
    <row r="155" spans="1:5" ht="12" customHeight="1">
      <c r="A155" s="885"/>
      <c r="B155" s="171" t="s">
        <v>560</v>
      </c>
      <c r="C155" s="587">
        <v>66</v>
      </c>
      <c r="D155" s="256">
        <v>1527</v>
      </c>
      <c r="E155" s="566">
        <v>71.690337</v>
      </c>
    </row>
    <row r="156" spans="1:5" ht="12" customHeight="1">
      <c r="A156" s="885"/>
      <c r="B156" s="171" t="s">
        <v>561</v>
      </c>
      <c r="C156" s="587">
        <v>8932</v>
      </c>
      <c r="D156" s="256">
        <v>68331</v>
      </c>
      <c r="E156" s="566">
        <v>30.211063</v>
      </c>
    </row>
    <row r="157" spans="1:5" ht="12" customHeight="1">
      <c r="A157" s="885"/>
      <c r="B157" s="167" t="s">
        <v>562</v>
      </c>
      <c r="C157" s="587" t="s">
        <v>107</v>
      </c>
      <c r="D157" s="256">
        <v>54462</v>
      </c>
      <c r="E157" s="566">
        <v>30.79369</v>
      </c>
    </row>
    <row r="158" spans="1:5" ht="12" customHeight="1">
      <c r="A158" s="885"/>
      <c r="B158" s="167" t="s">
        <v>563</v>
      </c>
      <c r="C158" s="587" t="s">
        <v>107</v>
      </c>
      <c r="D158" s="256">
        <v>15396</v>
      </c>
      <c r="E158" s="566">
        <v>32.396696</v>
      </c>
    </row>
    <row r="159" spans="1:5" ht="12" customHeight="1">
      <c r="A159" s="885"/>
      <c r="B159" s="171" t="s">
        <v>564</v>
      </c>
      <c r="C159" s="589">
        <v>8998</v>
      </c>
      <c r="D159" s="540">
        <v>69858</v>
      </c>
      <c r="E159" s="567">
        <v>31.141953</v>
      </c>
    </row>
    <row r="160" spans="1:5" ht="12" customHeight="1">
      <c r="A160" s="885">
        <v>29</v>
      </c>
      <c r="B160" s="168" t="s">
        <v>530</v>
      </c>
      <c r="C160" s="584" t="s">
        <v>107</v>
      </c>
      <c r="D160" s="169" t="s">
        <v>107</v>
      </c>
      <c r="E160" s="566">
        <v>0</v>
      </c>
    </row>
    <row r="161" spans="1:5" ht="12" customHeight="1">
      <c r="A161" s="885"/>
      <c r="B161" s="170" t="s">
        <v>558</v>
      </c>
      <c r="C161" s="587">
        <v>1942</v>
      </c>
      <c r="D161" s="256">
        <v>21009</v>
      </c>
      <c r="E161" s="566">
        <v>21.424533</v>
      </c>
    </row>
    <row r="162" spans="1:5" ht="12" customHeight="1">
      <c r="A162" s="885"/>
      <c r="B162" s="170" t="s">
        <v>559</v>
      </c>
      <c r="C162" s="587">
        <v>6</v>
      </c>
      <c r="D162" s="256">
        <v>158</v>
      </c>
      <c r="E162" s="566">
        <v>18.805044</v>
      </c>
    </row>
    <row r="163" spans="1:5" ht="12" customHeight="1">
      <c r="A163" s="885"/>
      <c r="B163" s="171" t="s">
        <v>560</v>
      </c>
      <c r="C163" s="587">
        <v>0</v>
      </c>
      <c r="D163" s="256">
        <v>0</v>
      </c>
      <c r="E163" s="566">
        <v>0</v>
      </c>
    </row>
    <row r="164" spans="1:5" ht="12" customHeight="1">
      <c r="A164" s="885"/>
      <c r="B164" s="171" t="s">
        <v>561</v>
      </c>
      <c r="C164" s="587">
        <v>1948</v>
      </c>
      <c r="D164" s="256">
        <v>21167</v>
      </c>
      <c r="E164" s="566">
        <v>21.4061</v>
      </c>
    </row>
    <row r="165" spans="1:5" ht="12" customHeight="1">
      <c r="A165" s="885"/>
      <c r="B165" s="167" t="s">
        <v>562</v>
      </c>
      <c r="C165" s="587" t="s">
        <v>107</v>
      </c>
      <c r="D165" s="256">
        <v>16807</v>
      </c>
      <c r="E165" s="566">
        <v>21.420095</v>
      </c>
    </row>
    <row r="166" spans="1:5" ht="12" customHeight="1">
      <c r="A166" s="885"/>
      <c r="B166" s="167" t="s">
        <v>563</v>
      </c>
      <c r="C166" s="587" t="s">
        <v>107</v>
      </c>
      <c r="D166" s="256">
        <v>4360</v>
      </c>
      <c r="E166" s="566">
        <v>21.350508</v>
      </c>
    </row>
    <row r="167" spans="1:5" ht="12" customHeight="1">
      <c r="A167" s="885"/>
      <c r="B167" s="171" t="s">
        <v>564</v>
      </c>
      <c r="C167" s="589">
        <v>1948</v>
      </c>
      <c r="D167" s="540">
        <v>21167</v>
      </c>
      <c r="E167" s="567">
        <v>21.4061</v>
      </c>
    </row>
    <row r="168" spans="1:5" ht="12" customHeight="1">
      <c r="A168" s="885">
        <v>30</v>
      </c>
      <c r="B168" s="168" t="s">
        <v>531</v>
      </c>
      <c r="C168" s="584" t="s">
        <v>107</v>
      </c>
      <c r="D168" s="169" t="s">
        <v>107</v>
      </c>
      <c r="E168" s="566">
        <v>0</v>
      </c>
    </row>
    <row r="169" spans="1:5" ht="12" customHeight="1">
      <c r="A169" s="885"/>
      <c r="B169" s="170" t="s">
        <v>558</v>
      </c>
      <c r="C169" s="587">
        <v>1845</v>
      </c>
      <c r="D169" s="256">
        <v>31355</v>
      </c>
      <c r="E169" s="566">
        <v>41.406086</v>
      </c>
    </row>
    <row r="170" spans="1:5" ht="12" customHeight="1">
      <c r="A170" s="885"/>
      <c r="B170" s="170" t="s">
        <v>559</v>
      </c>
      <c r="C170" s="587">
        <v>7</v>
      </c>
      <c r="D170" s="256">
        <v>186</v>
      </c>
      <c r="E170" s="566">
        <v>22.507744</v>
      </c>
    </row>
    <row r="171" spans="1:5" ht="12" customHeight="1">
      <c r="A171" s="885"/>
      <c r="B171" s="171" t="s">
        <v>560</v>
      </c>
      <c r="C171" s="587">
        <v>2</v>
      </c>
      <c r="D171" s="256">
        <v>308</v>
      </c>
      <c r="E171" s="566">
        <v>53.884699</v>
      </c>
    </row>
    <row r="172" spans="1:5" ht="12" customHeight="1">
      <c r="A172" s="885"/>
      <c r="B172" s="171" t="s">
        <v>561</v>
      </c>
      <c r="C172" s="587">
        <v>1850</v>
      </c>
      <c r="D172" s="256">
        <v>31233</v>
      </c>
      <c r="E172" s="566">
        <v>41.232735</v>
      </c>
    </row>
    <row r="173" spans="1:5" ht="12" customHeight="1">
      <c r="A173" s="885"/>
      <c r="B173" s="167" t="s">
        <v>562</v>
      </c>
      <c r="C173" s="587" t="s">
        <v>107</v>
      </c>
      <c r="D173" s="256">
        <v>28228</v>
      </c>
      <c r="E173" s="566">
        <v>42.428109</v>
      </c>
    </row>
    <row r="174" spans="1:5" ht="12" customHeight="1">
      <c r="A174" s="885"/>
      <c r="B174" s="167" t="s">
        <v>563</v>
      </c>
      <c r="C174" s="587" t="s">
        <v>107</v>
      </c>
      <c r="D174" s="256">
        <v>3313</v>
      </c>
      <c r="E174" s="566">
        <v>31.533319</v>
      </c>
    </row>
    <row r="175" spans="1:5" ht="12" customHeight="1">
      <c r="A175" s="885"/>
      <c r="B175" s="171" t="s">
        <v>564</v>
      </c>
      <c r="C175" s="589">
        <v>1852</v>
      </c>
      <c r="D175" s="540">
        <v>31541</v>
      </c>
      <c r="E175" s="567">
        <v>41.3111</v>
      </c>
    </row>
    <row r="176" spans="1:5" ht="12" customHeight="1">
      <c r="A176" s="885">
        <v>31</v>
      </c>
      <c r="B176" s="168" t="s">
        <v>532</v>
      </c>
      <c r="C176" s="584" t="s">
        <v>107</v>
      </c>
      <c r="D176" s="169" t="s">
        <v>107</v>
      </c>
      <c r="E176" s="566">
        <v>0</v>
      </c>
    </row>
    <row r="177" spans="1:5" ht="12" customHeight="1">
      <c r="A177" s="885"/>
      <c r="B177" s="170" t="s">
        <v>558</v>
      </c>
      <c r="C177" s="587">
        <v>3866</v>
      </c>
      <c r="D177" s="256">
        <v>80634</v>
      </c>
      <c r="E177" s="566">
        <v>55.159942</v>
      </c>
    </row>
    <row r="178" spans="1:5" ht="12" customHeight="1">
      <c r="A178" s="885"/>
      <c r="B178" s="170" t="s">
        <v>559</v>
      </c>
      <c r="C178" s="587">
        <v>119</v>
      </c>
      <c r="D178" s="256">
        <v>867</v>
      </c>
      <c r="E178" s="566">
        <v>29.477828</v>
      </c>
    </row>
    <row r="179" spans="1:5" ht="12" customHeight="1">
      <c r="A179" s="885"/>
      <c r="B179" s="171" t="s">
        <v>560</v>
      </c>
      <c r="C179" s="587">
        <v>19</v>
      </c>
      <c r="D179" s="256">
        <v>5887</v>
      </c>
      <c r="E179" s="566">
        <v>98.674525</v>
      </c>
    </row>
    <row r="180" spans="1:5" ht="12" customHeight="1">
      <c r="A180" s="885"/>
      <c r="B180" s="171" t="s">
        <v>561</v>
      </c>
      <c r="C180" s="587">
        <v>3966</v>
      </c>
      <c r="D180" s="256">
        <v>75614</v>
      </c>
      <c r="E180" s="566">
        <v>51.326659</v>
      </c>
    </row>
    <row r="181" spans="1:5" ht="12" customHeight="1">
      <c r="A181" s="885"/>
      <c r="B181" s="167" t="s">
        <v>562</v>
      </c>
      <c r="C181" s="587" t="s">
        <v>107</v>
      </c>
      <c r="D181" s="256">
        <v>63939</v>
      </c>
      <c r="E181" s="566">
        <v>55.815182</v>
      </c>
    </row>
    <row r="182" spans="1:5" ht="12" customHeight="1">
      <c r="A182" s="885"/>
      <c r="B182" s="167" t="s">
        <v>563</v>
      </c>
      <c r="C182" s="587" t="s">
        <v>107</v>
      </c>
      <c r="D182" s="256">
        <v>17562</v>
      </c>
      <c r="E182" s="566">
        <v>51.587798</v>
      </c>
    </row>
    <row r="183" spans="1:5" ht="12" customHeight="1" thickBot="1">
      <c r="A183" s="886"/>
      <c r="B183" s="172" t="s">
        <v>564</v>
      </c>
      <c r="C183" s="541">
        <v>3985</v>
      </c>
      <c r="D183" s="541">
        <v>81501</v>
      </c>
      <c r="E183" s="569">
        <v>54.920484</v>
      </c>
    </row>
    <row r="184" spans="1:5" ht="13.5" thickTop="1">
      <c r="A184" s="161"/>
      <c r="B184" s="162"/>
      <c r="C184" s="592"/>
      <c r="D184" s="163"/>
      <c r="E184" s="571"/>
    </row>
    <row r="185" spans="1:5" ht="12.75">
      <c r="A185" s="161"/>
      <c r="B185" s="162"/>
      <c r="C185" s="592"/>
      <c r="D185" s="163"/>
      <c r="E185" s="572" t="s">
        <v>107</v>
      </c>
    </row>
    <row r="186" spans="1:5" ht="12.75">
      <c r="A186" s="161"/>
      <c r="B186" s="162"/>
      <c r="C186" s="592"/>
      <c r="D186" s="163"/>
      <c r="E186" s="572"/>
    </row>
    <row r="187" spans="1:5" ht="12.75">
      <c r="A187" s="161"/>
      <c r="B187" s="162"/>
      <c r="C187" s="592"/>
      <c r="D187" s="163"/>
      <c r="E187" s="572"/>
    </row>
    <row r="188" spans="1:5" ht="12.75">
      <c r="A188" s="161"/>
      <c r="B188" s="162"/>
      <c r="C188" s="592"/>
      <c r="D188" s="163"/>
      <c r="E188" s="572"/>
    </row>
    <row r="189" spans="1:5" ht="13.5" thickBot="1">
      <c r="A189" s="161"/>
      <c r="B189" s="162"/>
      <c r="C189" s="592"/>
      <c r="D189" s="163"/>
      <c r="E189" s="572"/>
    </row>
    <row r="190" spans="1:5" ht="12.75" customHeight="1" thickTop="1">
      <c r="A190" s="881" t="s">
        <v>500</v>
      </c>
      <c r="B190" s="177" t="s">
        <v>107</v>
      </c>
      <c r="C190" s="593"/>
      <c r="D190" s="173" t="s">
        <v>501</v>
      </c>
      <c r="E190" s="562" t="s">
        <v>502</v>
      </c>
    </row>
    <row r="191" spans="1:5" ht="12.75">
      <c r="A191" s="882"/>
      <c r="B191" s="178" t="s">
        <v>503</v>
      </c>
      <c r="C191" s="594" t="s">
        <v>504</v>
      </c>
      <c r="D191" s="174" t="s">
        <v>505</v>
      </c>
      <c r="E191" s="563" t="s">
        <v>506</v>
      </c>
    </row>
    <row r="192" spans="1:5" ht="12.75">
      <c r="A192" s="882"/>
      <c r="B192" s="179" t="s">
        <v>507</v>
      </c>
      <c r="C192" s="595" t="s">
        <v>508</v>
      </c>
      <c r="D192" s="175" t="s">
        <v>509</v>
      </c>
      <c r="E192" s="563" t="s">
        <v>773</v>
      </c>
    </row>
    <row r="193" spans="1:5" ht="11.25" customHeight="1">
      <c r="A193" s="887"/>
      <c r="B193" s="181"/>
      <c r="C193" s="595" t="s">
        <v>510</v>
      </c>
      <c r="D193" s="175" t="s">
        <v>511</v>
      </c>
      <c r="E193" s="564" t="s">
        <v>512</v>
      </c>
    </row>
    <row r="194" spans="1:5" ht="12" customHeight="1">
      <c r="A194" s="885">
        <v>32</v>
      </c>
      <c r="B194" s="168" t="s">
        <v>533</v>
      </c>
      <c r="C194" s="584" t="s">
        <v>107</v>
      </c>
      <c r="D194" s="169" t="s">
        <v>107</v>
      </c>
      <c r="E194" s="566">
        <v>0</v>
      </c>
    </row>
    <row r="195" spans="1:5" ht="12" customHeight="1">
      <c r="A195" s="885"/>
      <c r="B195" s="170" t="s">
        <v>558</v>
      </c>
      <c r="C195" s="587">
        <v>360</v>
      </c>
      <c r="D195" s="256">
        <v>7919</v>
      </c>
      <c r="E195" s="566">
        <v>77.435504</v>
      </c>
    </row>
    <row r="196" spans="1:5" ht="12" customHeight="1">
      <c r="A196" s="885"/>
      <c r="B196" s="170" t="s">
        <v>559</v>
      </c>
      <c r="C196" s="587">
        <v>5</v>
      </c>
      <c r="D196" s="256">
        <v>36</v>
      </c>
      <c r="E196" s="566">
        <v>19.06856</v>
      </c>
    </row>
    <row r="197" spans="1:5" ht="12" customHeight="1">
      <c r="A197" s="885"/>
      <c r="B197" s="171" t="s">
        <v>560</v>
      </c>
      <c r="C197" s="587">
        <v>1</v>
      </c>
      <c r="D197" s="256">
        <v>3</v>
      </c>
      <c r="E197" s="566">
        <v>35.388889</v>
      </c>
    </row>
    <row r="198" spans="1:5" ht="12" customHeight="1">
      <c r="A198" s="885"/>
      <c r="B198" s="171" t="s">
        <v>561</v>
      </c>
      <c r="C198" s="587">
        <v>364</v>
      </c>
      <c r="D198" s="256">
        <v>7952</v>
      </c>
      <c r="E198" s="566">
        <v>77.193177</v>
      </c>
    </row>
    <row r="199" spans="1:5" ht="12" customHeight="1">
      <c r="A199" s="885"/>
      <c r="B199" s="167" t="s">
        <v>562</v>
      </c>
      <c r="C199" s="587" t="s">
        <v>107</v>
      </c>
      <c r="D199" s="256">
        <v>7287</v>
      </c>
      <c r="E199" s="566">
        <v>79.46692</v>
      </c>
    </row>
    <row r="200" spans="1:5" ht="12" customHeight="1">
      <c r="A200" s="885"/>
      <c r="B200" s="167" t="s">
        <v>563</v>
      </c>
      <c r="C200" s="587" t="s">
        <v>107</v>
      </c>
      <c r="D200" s="256">
        <v>668</v>
      </c>
      <c r="E200" s="566">
        <v>51.514516</v>
      </c>
    </row>
    <row r="201" spans="1:5" ht="12" customHeight="1">
      <c r="A201" s="885"/>
      <c r="B201" s="171" t="s">
        <v>564</v>
      </c>
      <c r="C201" s="589">
        <v>365</v>
      </c>
      <c r="D201" s="540">
        <v>7955</v>
      </c>
      <c r="E201" s="567">
        <v>77.176846</v>
      </c>
    </row>
    <row r="202" spans="1:5" ht="12" customHeight="1">
      <c r="A202" s="885">
        <v>33</v>
      </c>
      <c r="B202" s="168" t="s">
        <v>534</v>
      </c>
      <c r="C202" s="584" t="s">
        <v>107</v>
      </c>
      <c r="D202" s="169" t="s">
        <v>107</v>
      </c>
      <c r="E202" s="566">
        <v>0</v>
      </c>
    </row>
    <row r="203" spans="1:5" ht="12" customHeight="1">
      <c r="A203" s="885"/>
      <c r="B203" s="170" t="s">
        <v>558</v>
      </c>
      <c r="C203" s="587">
        <v>10417</v>
      </c>
      <c r="D203" s="256">
        <v>178919</v>
      </c>
      <c r="E203" s="566">
        <v>33.738947</v>
      </c>
    </row>
    <row r="204" spans="1:5" ht="12" customHeight="1">
      <c r="A204" s="885"/>
      <c r="B204" s="170" t="s">
        <v>559</v>
      </c>
      <c r="C204" s="587">
        <v>297</v>
      </c>
      <c r="D204" s="256">
        <v>6939</v>
      </c>
      <c r="E204" s="566">
        <v>23.402569</v>
      </c>
    </row>
    <row r="205" spans="1:5" ht="12" customHeight="1">
      <c r="A205" s="885"/>
      <c r="B205" s="171" t="s">
        <v>560</v>
      </c>
      <c r="C205" s="587">
        <v>33</v>
      </c>
      <c r="D205" s="256">
        <v>1058</v>
      </c>
      <c r="E205" s="566">
        <v>60.626073</v>
      </c>
    </row>
    <row r="206" spans="1:5" ht="12" customHeight="1">
      <c r="A206" s="885"/>
      <c r="B206" s="171" t="s">
        <v>561</v>
      </c>
      <c r="C206" s="587">
        <v>10681</v>
      </c>
      <c r="D206" s="256">
        <v>184800</v>
      </c>
      <c r="E206" s="566">
        <v>33.208131</v>
      </c>
    </row>
    <row r="207" spans="1:5" ht="12" customHeight="1">
      <c r="A207" s="885"/>
      <c r="B207" s="167" t="s">
        <v>562</v>
      </c>
      <c r="C207" s="587" t="s">
        <v>107</v>
      </c>
      <c r="D207" s="256">
        <v>168510</v>
      </c>
      <c r="E207" s="566">
        <v>33.753814</v>
      </c>
    </row>
    <row r="208" spans="1:5" ht="12" customHeight="1">
      <c r="A208" s="885"/>
      <c r="B208" s="167" t="s">
        <v>563</v>
      </c>
      <c r="C208" s="587" t="s">
        <v>107</v>
      </c>
      <c r="D208" s="256">
        <v>17348</v>
      </c>
      <c r="E208" s="566">
        <v>29.548233</v>
      </c>
    </row>
    <row r="209" spans="1:5" ht="12" customHeight="1">
      <c r="A209" s="885"/>
      <c r="B209" s="171" t="s">
        <v>564</v>
      </c>
      <c r="C209" s="589">
        <v>10714</v>
      </c>
      <c r="D209" s="540">
        <v>185858</v>
      </c>
      <c r="E209" s="567">
        <v>33.369597</v>
      </c>
    </row>
    <row r="210" spans="1:5" ht="12" customHeight="1">
      <c r="A210" s="885">
        <v>34</v>
      </c>
      <c r="B210" s="168" t="s">
        <v>535</v>
      </c>
      <c r="C210" s="584" t="s">
        <v>107</v>
      </c>
      <c r="D210" s="169" t="s">
        <v>107</v>
      </c>
      <c r="E210" s="566">
        <v>0</v>
      </c>
    </row>
    <row r="211" spans="1:5" ht="12" customHeight="1">
      <c r="A211" s="885"/>
      <c r="B211" s="170" t="s">
        <v>558</v>
      </c>
      <c r="C211" s="587">
        <v>2330</v>
      </c>
      <c r="D211" s="256">
        <v>83569</v>
      </c>
      <c r="E211" s="566">
        <v>50.070253</v>
      </c>
    </row>
    <row r="212" spans="1:5" ht="12" customHeight="1">
      <c r="A212" s="885"/>
      <c r="B212" s="170" t="s">
        <v>559</v>
      </c>
      <c r="C212" s="587">
        <v>42</v>
      </c>
      <c r="D212" s="256">
        <v>2477</v>
      </c>
      <c r="E212" s="566">
        <v>29.187727</v>
      </c>
    </row>
    <row r="213" spans="1:5" ht="12" customHeight="1">
      <c r="A213" s="885"/>
      <c r="B213" s="171" t="s">
        <v>560</v>
      </c>
      <c r="C213" s="587">
        <v>9</v>
      </c>
      <c r="D213" s="256">
        <v>7402</v>
      </c>
      <c r="E213" s="566">
        <v>109.495374</v>
      </c>
    </row>
    <row r="214" spans="1:5" ht="12" customHeight="1">
      <c r="A214" s="885"/>
      <c r="B214" s="171" t="s">
        <v>561</v>
      </c>
      <c r="C214" s="587">
        <v>2363</v>
      </c>
      <c r="D214" s="256">
        <v>78644</v>
      </c>
      <c r="E214" s="566">
        <v>43.619585</v>
      </c>
    </row>
    <row r="215" spans="1:5" ht="12" customHeight="1">
      <c r="A215" s="885"/>
      <c r="B215" s="167" t="s">
        <v>562</v>
      </c>
      <c r="C215" s="587" t="s">
        <v>107</v>
      </c>
      <c r="D215" s="256">
        <v>81342</v>
      </c>
      <c r="E215" s="566">
        <v>49.961635</v>
      </c>
    </row>
    <row r="216" spans="1:5" ht="12" customHeight="1">
      <c r="A216" s="885"/>
      <c r="B216" s="167" t="s">
        <v>563</v>
      </c>
      <c r="C216" s="587" t="s">
        <v>107</v>
      </c>
      <c r="D216" s="256">
        <v>4704</v>
      </c>
      <c r="E216" s="566">
        <v>42.59734</v>
      </c>
    </row>
    <row r="217" spans="1:5" ht="12" customHeight="1">
      <c r="A217" s="885"/>
      <c r="B217" s="171" t="s">
        <v>564</v>
      </c>
      <c r="C217" s="589">
        <v>2372</v>
      </c>
      <c r="D217" s="540">
        <v>86046</v>
      </c>
      <c r="E217" s="567">
        <v>49.559501</v>
      </c>
    </row>
    <row r="218" spans="1:5" ht="12" customHeight="1">
      <c r="A218" s="885">
        <v>35</v>
      </c>
      <c r="B218" s="168" t="s">
        <v>536</v>
      </c>
      <c r="C218" s="584" t="s">
        <v>107</v>
      </c>
      <c r="D218" s="169" t="s">
        <v>107</v>
      </c>
      <c r="E218" s="566">
        <v>0</v>
      </c>
    </row>
    <row r="219" spans="1:5" ht="12" customHeight="1">
      <c r="A219" s="885"/>
      <c r="B219" s="170" t="s">
        <v>558</v>
      </c>
      <c r="C219" s="587">
        <v>26326</v>
      </c>
      <c r="D219" s="256">
        <v>285069</v>
      </c>
      <c r="E219" s="566">
        <v>28.615869</v>
      </c>
    </row>
    <row r="220" spans="1:5" ht="12" customHeight="1">
      <c r="A220" s="885"/>
      <c r="B220" s="170" t="s">
        <v>559</v>
      </c>
      <c r="C220" s="587">
        <v>454</v>
      </c>
      <c r="D220" s="256">
        <v>9278</v>
      </c>
      <c r="E220" s="566">
        <v>23.808796</v>
      </c>
    </row>
    <row r="221" spans="1:5" ht="12" customHeight="1">
      <c r="A221" s="885"/>
      <c r="B221" s="171" t="s">
        <v>560</v>
      </c>
      <c r="C221" s="587">
        <v>63</v>
      </c>
      <c r="D221" s="256">
        <v>3227</v>
      </c>
      <c r="E221" s="566">
        <v>57.967956</v>
      </c>
    </row>
    <row r="222" spans="1:5" ht="12" customHeight="1">
      <c r="A222" s="885"/>
      <c r="B222" s="171" t="s">
        <v>561</v>
      </c>
      <c r="C222" s="587">
        <v>26717</v>
      </c>
      <c r="D222" s="256">
        <v>291120</v>
      </c>
      <c r="E222" s="566">
        <v>28.153649</v>
      </c>
    </row>
    <row r="223" spans="1:5" ht="12" customHeight="1">
      <c r="A223" s="885"/>
      <c r="B223" s="167" t="s">
        <v>562</v>
      </c>
      <c r="C223" s="587" t="s">
        <v>107</v>
      </c>
      <c r="D223" s="256">
        <v>267707</v>
      </c>
      <c r="E223" s="566">
        <v>28.626505</v>
      </c>
    </row>
    <row r="224" spans="1:5" ht="12" customHeight="1">
      <c r="A224" s="885"/>
      <c r="B224" s="167" t="s">
        <v>563</v>
      </c>
      <c r="C224" s="587" t="s">
        <v>107</v>
      </c>
      <c r="D224" s="256">
        <v>26640</v>
      </c>
      <c r="E224" s="566">
        <v>27.066741</v>
      </c>
    </row>
    <row r="225" spans="1:5" ht="12" customHeight="1">
      <c r="A225" s="885"/>
      <c r="B225" s="171" t="s">
        <v>564</v>
      </c>
      <c r="C225" s="589">
        <v>26780</v>
      </c>
      <c r="D225" s="540">
        <v>294347</v>
      </c>
      <c r="E225" s="567">
        <v>28.482999</v>
      </c>
    </row>
    <row r="226" spans="1:5" ht="12" customHeight="1">
      <c r="A226" s="885">
        <v>36</v>
      </c>
      <c r="B226" s="168" t="s">
        <v>537</v>
      </c>
      <c r="C226" s="584" t="s">
        <v>107</v>
      </c>
      <c r="D226" s="169" t="s">
        <v>107</v>
      </c>
      <c r="E226" s="566">
        <v>0</v>
      </c>
    </row>
    <row r="227" spans="1:5" ht="12" customHeight="1">
      <c r="A227" s="885"/>
      <c r="B227" s="170" t="s">
        <v>558</v>
      </c>
      <c r="C227" s="587">
        <v>22662</v>
      </c>
      <c r="D227" s="256">
        <v>223482</v>
      </c>
      <c r="E227" s="566">
        <v>31.310287</v>
      </c>
    </row>
    <row r="228" spans="1:5" ht="12" customHeight="1">
      <c r="A228" s="885"/>
      <c r="B228" s="170" t="s">
        <v>559</v>
      </c>
      <c r="C228" s="587">
        <v>304</v>
      </c>
      <c r="D228" s="256">
        <v>6017</v>
      </c>
      <c r="E228" s="566">
        <v>25.095038</v>
      </c>
    </row>
    <row r="229" spans="1:5" ht="12" customHeight="1">
      <c r="A229" s="885"/>
      <c r="B229" s="171" t="s">
        <v>560</v>
      </c>
      <c r="C229" s="587">
        <v>74</v>
      </c>
      <c r="D229" s="256">
        <v>6717</v>
      </c>
      <c r="E229" s="566">
        <v>63.466022</v>
      </c>
    </row>
    <row r="230" spans="1:5" ht="12" customHeight="1">
      <c r="A230" s="885"/>
      <c r="B230" s="171" t="s">
        <v>561</v>
      </c>
      <c r="C230" s="587">
        <v>22892</v>
      </c>
      <c r="D230" s="256">
        <v>222782</v>
      </c>
      <c r="E230" s="566">
        <v>30.215139</v>
      </c>
    </row>
    <row r="231" spans="1:5" ht="12" customHeight="1">
      <c r="A231" s="885"/>
      <c r="B231" s="167" t="s">
        <v>562</v>
      </c>
      <c r="C231" s="587" t="s">
        <v>107</v>
      </c>
      <c r="D231" s="256">
        <v>202082</v>
      </c>
      <c r="E231" s="566">
        <v>31.432709</v>
      </c>
    </row>
    <row r="232" spans="1:5" ht="12" customHeight="1">
      <c r="A232" s="885"/>
      <c r="B232" s="167" t="s">
        <v>563</v>
      </c>
      <c r="C232" s="587" t="s">
        <v>107</v>
      </c>
      <c r="D232" s="256">
        <v>27417</v>
      </c>
      <c r="E232" s="566">
        <v>29.164338</v>
      </c>
    </row>
    <row r="233" spans="1:5" ht="12" customHeight="1">
      <c r="A233" s="885"/>
      <c r="B233" s="171" t="s">
        <v>564</v>
      </c>
      <c r="C233" s="589">
        <v>22966</v>
      </c>
      <c r="D233" s="540">
        <v>229499</v>
      </c>
      <c r="E233" s="567">
        <v>31.162562</v>
      </c>
    </row>
    <row r="234" spans="1:5" ht="12" customHeight="1">
      <c r="A234" s="885">
        <v>37</v>
      </c>
      <c r="B234" s="168" t="s">
        <v>538</v>
      </c>
      <c r="C234" s="584" t="s">
        <v>107</v>
      </c>
      <c r="D234" s="169" t="s">
        <v>107</v>
      </c>
      <c r="E234" s="566">
        <v>0</v>
      </c>
    </row>
    <row r="235" spans="1:5" ht="12" customHeight="1">
      <c r="A235" s="885"/>
      <c r="B235" s="170" t="s">
        <v>558</v>
      </c>
      <c r="C235" s="587">
        <v>9446</v>
      </c>
      <c r="D235" s="256">
        <v>110332</v>
      </c>
      <c r="E235" s="566">
        <v>38.147356</v>
      </c>
    </row>
    <row r="236" spans="1:5" ht="12" customHeight="1">
      <c r="A236" s="885"/>
      <c r="B236" s="170" t="s">
        <v>559</v>
      </c>
      <c r="C236" s="587">
        <v>140</v>
      </c>
      <c r="D236" s="256">
        <v>3173</v>
      </c>
      <c r="E236" s="566">
        <v>23.627002</v>
      </c>
    </row>
    <row r="237" spans="1:5" ht="12" customHeight="1">
      <c r="A237" s="885"/>
      <c r="B237" s="171" t="s">
        <v>560</v>
      </c>
      <c r="C237" s="587">
        <v>34</v>
      </c>
      <c r="D237" s="256">
        <v>1104</v>
      </c>
      <c r="E237" s="566">
        <v>69.620714</v>
      </c>
    </row>
    <row r="238" spans="1:5" ht="12" customHeight="1">
      <c r="A238" s="885"/>
      <c r="B238" s="171" t="s">
        <v>561</v>
      </c>
      <c r="C238" s="587">
        <v>9552</v>
      </c>
      <c r="D238" s="256">
        <v>112401</v>
      </c>
      <c r="E238" s="566">
        <v>37.414427</v>
      </c>
    </row>
    <row r="239" spans="1:5" ht="12" customHeight="1">
      <c r="A239" s="885"/>
      <c r="B239" s="167" t="s">
        <v>562</v>
      </c>
      <c r="C239" s="587" t="s">
        <v>107</v>
      </c>
      <c r="D239" s="256">
        <v>87495</v>
      </c>
      <c r="E239" s="566">
        <v>38.712833</v>
      </c>
    </row>
    <row r="240" spans="1:5" ht="12" customHeight="1">
      <c r="A240" s="885"/>
      <c r="B240" s="167" t="s">
        <v>563</v>
      </c>
      <c r="C240" s="587" t="s">
        <v>107</v>
      </c>
      <c r="D240" s="256">
        <v>26010</v>
      </c>
      <c r="E240" s="566">
        <v>34.428478</v>
      </c>
    </row>
    <row r="241" spans="1:5" ht="12" customHeight="1">
      <c r="A241" s="885"/>
      <c r="B241" s="171" t="s">
        <v>564</v>
      </c>
      <c r="C241" s="589">
        <v>9586</v>
      </c>
      <c r="D241" s="540">
        <v>113505</v>
      </c>
      <c r="E241" s="567">
        <v>37.744235</v>
      </c>
    </row>
    <row r="242" spans="1:5" ht="12" customHeight="1">
      <c r="A242" s="885">
        <v>38</v>
      </c>
      <c r="B242" s="168" t="s">
        <v>539</v>
      </c>
      <c r="C242" s="584" t="s">
        <v>107</v>
      </c>
      <c r="D242" s="169" t="s">
        <v>107</v>
      </c>
      <c r="E242" s="566">
        <v>0</v>
      </c>
    </row>
    <row r="243" spans="1:5" ht="12" customHeight="1">
      <c r="A243" s="885"/>
      <c r="B243" s="170" t="s">
        <v>558</v>
      </c>
      <c r="C243" s="587">
        <v>23301</v>
      </c>
      <c r="D243" s="256">
        <v>285026</v>
      </c>
      <c r="E243" s="566">
        <v>45.329302</v>
      </c>
    </row>
    <row r="244" spans="1:5" ht="12" customHeight="1">
      <c r="A244" s="885"/>
      <c r="B244" s="170" t="s">
        <v>559</v>
      </c>
      <c r="C244" s="587">
        <v>174</v>
      </c>
      <c r="D244" s="256">
        <v>5415</v>
      </c>
      <c r="E244" s="566">
        <v>25.902938</v>
      </c>
    </row>
    <row r="245" spans="1:5" ht="12" customHeight="1">
      <c r="A245" s="885"/>
      <c r="B245" s="171" t="s">
        <v>560</v>
      </c>
      <c r="C245" s="587">
        <v>482</v>
      </c>
      <c r="D245" s="256">
        <v>37158</v>
      </c>
      <c r="E245" s="566">
        <v>74.137479</v>
      </c>
    </row>
    <row r="246" spans="1:5" ht="12" customHeight="1">
      <c r="A246" s="885"/>
      <c r="B246" s="171" t="s">
        <v>561</v>
      </c>
      <c r="C246" s="587">
        <v>22993</v>
      </c>
      <c r="D246" s="256">
        <v>253283</v>
      </c>
      <c r="E246" s="566">
        <v>40.346491</v>
      </c>
    </row>
    <row r="247" spans="1:5" ht="12" customHeight="1">
      <c r="A247" s="885"/>
      <c r="B247" s="167" t="s">
        <v>562</v>
      </c>
      <c r="C247" s="587" t="s">
        <v>107</v>
      </c>
      <c r="D247" s="256">
        <v>264495</v>
      </c>
      <c r="E247" s="566">
        <v>45.404137</v>
      </c>
    </row>
    <row r="248" spans="1:5" ht="12" customHeight="1">
      <c r="A248" s="885"/>
      <c r="B248" s="167" t="s">
        <v>563</v>
      </c>
      <c r="C248" s="587" t="s">
        <v>107</v>
      </c>
      <c r="D248" s="256">
        <v>25946</v>
      </c>
      <c r="E248" s="566">
        <v>40.997479</v>
      </c>
    </row>
    <row r="249" spans="1:5" ht="12" customHeight="1" thickBot="1">
      <c r="A249" s="886"/>
      <c r="B249" s="172" t="s">
        <v>564</v>
      </c>
      <c r="C249" s="541">
        <v>23475</v>
      </c>
      <c r="D249" s="541">
        <v>290441</v>
      </c>
      <c r="E249" s="569">
        <v>45.003771</v>
      </c>
    </row>
    <row r="250" spans="1:5" ht="13.5" thickTop="1">
      <c r="A250" s="161"/>
      <c r="B250" s="162"/>
      <c r="C250" s="592"/>
      <c r="D250" s="163"/>
      <c r="E250" s="571"/>
    </row>
    <row r="251" spans="1:5" ht="12.75">
      <c r="A251" s="161"/>
      <c r="B251" s="162"/>
      <c r="C251" s="592"/>
      <c r="D251" s="163"/>
      <c r="E251" s="571"/>
    </row>
    <row r="252" spans="1:5" ht="12.75">
      <c r="A252" s="161"/>
      <c r="B252" s="162"/>
      <c r="C252" s="592"/>
      <c r="D252" s="163"/>
      <c r="E252" s="571"/>
    </row>
    <row r="253" spans="1:5" ht="13.5" thickBot="1">
      <c r="A253" s="161"/>
      <c r="B253" s="162"/>
      <c r="C253" s="592"/>
      <c r="D253" s="163"/>
      <c r="E253" s="571"/>
    </row>
    <row r="254" spans="1:5" ht="12.75" customHeight="1" thickTop="1">
      <c r="A254" s="881" t="s">
        <v>500</v>
      </c>
      <c r="B254" s="177" t="s">
        <v>107</v>
      </c>
      <c r="C254" s="593"/>
      <c r="D254" s="173" t="s">
        <v>501</v>
      </c>
      <c r="E254" s="562" t="s">
        <v>502</v>
      </c>
    </row>
    <row r="255" spans="1:5" ht="12.75">
      <c r="A255" s="882"/>
      <c r="B255" s="178" t="s">
        <v>503</v>
      </c>
      <c r="C255" s="594" t="s">
        <v>504</v>
      </c>
      <c r="D255" s="174" t="s">
        <v>505</v>
      </c>
      <c r="E255" s="563" t="s">
        <v>506</v>
      </c>
    </row>
    <row r="256" spans="1:5" ht="12.75">
      <c r="A256" s="882"/>
      <c r="B256" s="179" t="s">
        <v>507</v>
      </c>
      <c r="C256" s="595" t="s">
        <v>508</v>
      </c>
      <c r="D256" s="175" t="s">
        <v>509</v>
      </c>
      <c r="E256" s="563" t="s">
        <v>773</v>
      </c>
    </row>
    <row r="257" spans="1:5" ht="11.25" customHeight="1">
      <c r="A257" s="887"/>
      <c r="B257" s="181"/>
      <c r="C257" s="595" t="s">
        <v>510</v>
      </c>
      <c r="D257" s="175" t="s">
        <v>511</v>
      </c>
      <c r="E257" s="564" t="s">
        <v>512</v>
      </c>
    </row>
    <row r="258" spans="1:5" ht="12" customHeight="1">
      <c r="A258" s="885">
        <v>39</v>
      </c>
      <c r="B258" s="168" t="s">
        <v>540</v>
      </c>
      <c r="C258" s="584" t="s">
        <v>107</v>
      </c>
      <c r="D258" s="169" t="s">
        <v>107</v>
      </c>
      <c r="E258" s="566">
        <v>0</v>
      </c>
    </row>
    <row r="259" spans="1:5" ht="12" customHeight="1">
      <c r="A259" s="885"/>
      <c r="B259" s="170" t="s">
        <v>558</v>
      </c>
      <c r="C259" s="587">
        <v>14732</v>
      </c>
      <c r="D259" s="256">
        <v>129220</v>
      </c>
      <c r="E259" s="566">
        <v>26.093178</v>
      </c>
    </row>
    <row r="260" spans="1:5" ht="12" customHeight="1">
      <c r="A260" s="885"/>
      <c r="B260" s="170" t="s">
        <v>559</v>
      </c>
      <c r="C260" s="587">
        <v>96</v>
      </c>
      <c r="D260" s="256">
        <v>631</v>
      </c>
      <c r="E260" s="566">
        <v>29.502535</v>
      </c>
    </row>
    <row r="261" spans="1:5" ht="12" customHeight="1">
      <c r="A261" s="885"/>
      <c r="B261" s="171" t="s">
        <v>560</v>
      </c>
      <c r="C261" s="587">
        <v>26</v>
      </c>
      <c r="D261" s="256">
        <v>612</v>
      </c>
      <c r="E261" s="566">
        <v>41.488592</v>
      </c>
    </row>
    <row r="262" spans="1:5" ht="12" customHeight="1">
      <c r="A262" s="885"/>
      <c r="B262" s="171" t="s">
        <v>561</v>
      </c>
      <c r="C262" s="587">
        <v>14802</v>
      </c>
      <c r="D262" s="256">
        <v>129239</v>
      </c>
      <c r="E262" s="566">
        <v>26.080414</v>
      </c>
    </row>
    <row r="263" spans="1:5" ht="12" customHeight="1">
      <c r="A263" s="885"/>
      <c r="B263" s="167" t="s">
        <v>562</v>
      </c>
      <c r="C263" s="587" t="s">
        <v>107</v>
      </c>
      <c r="D263" s="256">
        <v>105697</v>
      </c>
      <c r="E263" s="566">
        <v>26.117826</v>
      </c>
    </row>
    <row r="264" spans="1:5" ht="12" customHeight="1">
      <c r="A264" s="885"/>
      <c r="B264" s="167" t="s">
        <v>563</v>
      </c>
      <c r="C264" s="587" t="s">
        <v>107</v>
      </c>
      <c r="D264" s="256">
        <v>24154</v>
      </c>
      <c r="E264" s="566">
        <v>26.073219</v>
      </c>
    </row>
    <row r="265" spans="1:5" ht="12" customHeight="1">
      <c r="A265" s="885"/>
      <c r="B265" s="171" t="s">
        <v>564</v>
      </c>
      <c r="C265" s="589">
        <v>14828</v>
      </c>
      <c r="D265" s="540">
        <v>129851</v>
      </c>
      <c r="E265" s="567">
        <v>26.109724</v>
      </c>
    </row>
    <row r="266" spans="1:5" ht="12" customHeight="1">
      <c r="A266" s="885">
        <v>40</v>
      </c>
      <c r="B266" s="168" t="s">
        <v>541</v>
      </c>
      <c r="C266" s="584" t="s">
        <v>107</v>
      </c>
      <c r="D266" s="169" t="s">
        <v>107</v>
      </c>
      <c r="E266" s="566">
        <v>0</v>
      </c>
    </row>
    <row r="267" spans="1:5" ht="12" customHeight="1">
      <c r="A267" s="885"/>
      <c r="B267" s="170" t="s">
        <v>558</v>
      </c>
      <c r="C267" s="587">
        <v>31573</v>
      </c>
      <c r="D267" s="256">
        <v>299532</v>
      </c>
      <c r="E267" s="566">
        <v>46.525475</v>
      </c>
    </row>
    <row r="268" spans="1:5" ht="12" customHeight="1">
      <c r="A268" s="885"/>
      <c r="B268" s="170" t="s">
        <v>559</v>
      </c>
      <c r="C268" s="587">
        <v>121338</v>
      </c>
      <c r="D268" s="256">
        <v>972161</v>
      </c>
      <c r="E268" s="566">
        <v>22.727934</v>
      </c>
    </row>
    <row r="269" spans="1:5" ht="12" customHeight="1">
      <c r="A269" s="885"/>
      <c r="B269" s="171" t="s">
        <v>560</v>
      </c>
      <c r="C269" s="587">
        <v>3367</v>
      </c>
      <c r="D269" s="256">
        <v>150196</v>
      </c>
      <c r="E269" s="566">
        <v>61.604939</v>
      </c>
    </row>
    <row r="270" spans="1:5" ht="12" customHeight="1">
      <c r="A270" s="885"/>
      <c r="B270" s="171" t="s">
        <v>561</v>
      </c>
      <c r="C270" s="587">
        <v>149544</v>
      </c>
      <c r="D270" s="256">
        <v>1121497</v>
      </c>
      <c r="E270" s="566">
        <v>23.704922</v>
      </c>
    </row>
    <row r="271" spans="1:5" ht="12" customHeight="1">
      <c r="A271" s="885"/>
      <c r="B271" s="167" t="s">
        <v>562</v>
      </c>
      <c r="C271" s="587" t="s">
        <v>107</v>
      </c>
      <c r="D271" s="256">
        <v>1219197</v>
      </c>
      <c r="E271" s="566">
        <v>29.058687</v>
      </c>
    </row>
    <row r="272" spans="1:5" ht="12" customHeight="1">
      <c r="A272" s="885"/>
      <c r="B272" s="167" t="s">
        <v>563</v>
      </c>
      <c r="C272" s="587" t="s">
        <v>107</v>
      </c>
      <c r="D272" s="256">
        <v>52496</v>
      </c>
      <c r="E272" s="566">
        <v>30.560808</v>
      </c>
    </row>
    <row r="273" spans="1:5" ht="12" customHeight="1">
      <c r="A273" s="885"/>
      <c r="B273" s="171" t="s">
        <v>564</v>
      </c>
      <c r="C273" s="589">
        <v>152911</v>
      </c>
      <c r="D273" s="540">
        <v>1271693</v>
      </c>
      <c r="E273" s="567">
        <v>29.12765</v>
      </c>
    </row>
    <row r="274" spans="1:5" ht="12" customHeight="1">
      <c r="A274" s="885">
        <v>51</v>
      </c>
      <c r="B274" s="168" t="s">
        <v>542</v>
      </c>
      <c r="C274" s="584" t="s">
        <v>107</v>
      </c>
      <c r="D274" s="169" t="s">
        <v>107</v>
      </c>
      <c r="E274" s="566">
        <v>0</v>
      </c>
    </row>
    <row r="275" spans="1:5" ht="12" customHeight="1">
      <c r="A275" s="885"/>
      <c r="B275" s="170" t="s">
        <v>558</v>
      </c>
      <c r="C275" s="587">
        <v>42990</v>
      </c>
      <c r="D275" s="256">
        <v>86514</v>
      </c>
      <c r="E275" s="566">
        <v>37.495884</v>
      </c>
    </row>
    <row r="276" spans="1:5" ht="12" customHeight="1">
      <c r="A276" s="885"/>
      <c r="B276" s="170" t="s">
        <v>559</v>
      </c>
      <c r="C276" s="587">
        <v>1306</v>
      </c>
      <c r="D276" s="256">
        <v>16226</v>
      </c>
      <c r="E276" s="566">
        <v>23.433484</v>
      </c>
    </row>
    <row r="277" spans="1:5" ht="12" customHeight="1">
      <c r="A277" s="885"/>
      <c r="B277" s="171" t="s">
        <v>560</v>
      </c>
      <c r="C277" s="587">
        <v>905</v>
      </c>
      <c r="D277" s="256">
        <v>22764</v>
      </c>
      <c r="E277" s="566">
        <v>68.82775</v>
      </c>
    </row>
    <row r="278" spans="1:5" ht="12" customHeight="1">
      <c r="A278" s="885"/>
      <c r="B278" s="171" t="s">
        <v>561</v>
      </c>
      <c r="C278" s="587">
        <v>43391</v>
      </c>
      <c r="D278" s="256">
        <v>79976</v>
      </c>
      <c r="E278" s="566">
        <v>25.670125</v>
      </c>
    </row>
    <row r="279" spans="1:5" ht="12" customHeight="1">
      <c r="A279" s="885"/>
      <c r="B279" s="167" t="s">
        <v>562</v>
      </c>
      <c r="C279" s="587" t="s">
        <v>107</v>
      </c>
      <c r="D279" s="256">
        <v>92780</v>
      </c>
      <c r="E279" s="566">
        <v>36.227749</v>
      </c>
    </row>
    <row r="280" spans="1:5" ht="12" customHeight="1">
      <c r="A280" s="885"/>
      <c r="B280" s="167" t="s">
        <v>563</v>
      </c>
      <c r="C280" s="587" t="s">
        <v>107</v>
      </c>
      <c r="D280" s="256">
        <v>9960</v>
      </c>
      <c r="E280" s="566">
        <v>27.020816</v>
      </c>
    </row>
    <row r="281" spans="1:5" ht="12" customHeight="1">
      <c r="A281" s="885"/>
      <c r="B281" s="171" t="s">
        <v>564</v>
      </c>
      <c r="C281" s="589">
        <v>44296</v>
      </c>
      <c r="D281" s="540">
        <v>102740</v>
      </c>
      <c r="E281" s="567">
        <v>35.375335</v>
      </c>
    </row>
    <row r="282" spans="1:5" ht="12" customHeight="1">
      <c r="A282" s="885">
        <v>52</v>
      </c>
      <c r="B282" s="168" t="s">
        <v>543</v>
      </c>
      <c r="C282" s="584" t="s">
        <v>107</v>
      </c>
      <c r="D282" s="169" t="s">
        <v>107</v>
      </c>
      <c r="E282" s="566">
        <v>0</v>
      </c>
    </row>
    <row r="283" spans="1:5" ht="12" customHeight="1">
      <c r="A283" s="885"/>
      <c r="B283" s="170" t="s">
        <v>558</v>
      </c>
      <c r="C283" s="587">
        <v>3096</v>
      </c>
      <c r="D283" s="256">
        <v>71692</v>
      </c>
      <c r="E283" s="566">
        <v>43.185566</v>
      </c>
    </row>
    <row r="284" spans="1:5" ht="12" customHeight="1">
      <c r="A284" s="885"/>
      <c r="B284" s="170" t="s">
        <v>559</v>
      </c>
      <c r="C284" s="587">
        <v>899</v>
      </c>
      <c r="D284" s="256">
        <v>19684</v>
      </c>
      <c r="E284" s="566">
        <v>27.073572</v>
      </c>
    </row>
    <row r="285" spans="1:5" ht="12" customHeight="1">
      <c r="A285" s="885"/>
      <c r="B285" s="171" t="s">
        <v>560</v>
      </c>
      <c r="C285" s="587">
        <v>2436</v>
      </c>
      <c r="D285" s="256">
        <v>68845</v>
      </c>
      <c r="E285" s="566">
        <v>43.734188</v>
      </c>
    </row>
    <row r="286" spans="1:5" ht="12" customHeight="1">
      <c r="A286" s="885"/>
      <c r="B286" s="171" t="s">
        <v>561</v>
      </c>
      <c r="C286" s="587">
        <v>1559</v>
      </c>
      <c r="D286" s="256">
        <v>22531</v>
      </c>
      <c r="E286" s="566">
        <v>27.263975</v>
      </c>
    </row>
    <row r="287" spans="1:5" ht="12" customHeight="1">
      <c r="A287" s="885"/>
      <c r="B287" s="167" t="s">
        <v>562</v>
      </c>
      <c r="C287" s="587" t="s">
        <v>107</v>
      </c>
      <c r="D287" s="256">
        <v>84602</v>
      </c>
      <c r="E287" s="566">
        <v>39.914667</v>
      </c>
    </row>
    <row r="288" spans="1:5" ht="12" customHeight="1">
      <c r="A288" s="885"/>
      <c r="B288" s="167" t="s">
        <v>563</v>
      </c>
      <c r="C288" s="587" t="s">
        <v>107</v>
      </c>
      <c r="D288" s="256">
        <v>6774</v>
      </c>
      <c r="E288" s="566">
        <v>38.679622</v>
      </c>
    </row>
    <row r="289" spans="1:5" ht="12" customHeight="1">
      <c r="A289" s="885"/>
      <c r="B289" s="171" t="s">
        <v>564</v>
      </c>
      <c r="C289" s="589">
        <v>3995</v>
      </c>
      <c r="D289" s="540">
        <v>91376</v>
      </c>
      <c r="E289" s="567">
        <v>39.82704</v>
      </c>
    </row>
    <row r="290" spans="1:5" ht="12" customHeight="1">
      <c r="A290" s="885">
        <v>61</v>
      </c>
      <c r="B290" s="168" t="s">
        <v>544</v>
      </c>
      <c r="C290" s="584" t="s">
        <v>107</v>
      </c>
      <c r="D290" s="169" t="s">
        <v>107</v>
      </c>
      <c r="E290" s="566">
        <v>0</v>
      </c>
    </row>
    <row r="291" spans="1:5" ht="12" customHeight="1">
      <c r="A291" s="885"/>
      <c r="B291" s="170" t="s">
        <v>558</v>
      </c>
      <c r="C291" s="587">
        <v>264516</v>
      </c>
      <c r="D291" s="256">
        <v>1095626</v>
      </c>
      <c r="E291" s="566">
        <v>27.014187</v>
      </c>
    </row>
    <row r="292" spans="1:5" ht="12" customHeight="1">
      <c r="A292" s="885"/>
      <c r="B292" s="170" t="s">
        <v>559</v>
      </c>
      <c r="C292" s="587">
        <v>885</v>
      </c>
      <c r="D292" s="256">
        <v>2888</v>
      </c>
      <c r="E292" s="566">
        <v>23.10075</v>
      </c>
    </row>
    <row r="293" spans="1:5" ht="12" customHeight="1">
      <c r="A293" s="885"/>
      <c r="B293" s="171" t="s">
        <v>560</v>
      </c>
      <c r="C293" s="587">
        <v>222</v>
      </c>
      <c r="D293" s="256">
        <v>2860</v>
      </c>
      <c r="E293" s="566">
        <v>64.081709</v>
      </c>
    </row>
    <row r="294" spans="1:5" ht="12" customHeight="1">
      <c r="A294" s="885"/>
      <c r="B294" s="171" t="s">
        <v>561</v>
      </c>
      <c r="C294" s="587">
        <v>265179</v>
      </c>
      <c r="D294" s="256">
        <v>1095654</v>
      </c>
      <c r="E294" s="566">
        <v>26.909938</v>
      </c>
    </row>
    <row r="295" spans="1:5" ht="12" customHeight="1">
      <c r="A295" s="885"/>
      <c r="B295" s="167" t="s">
        <v>562</v>
      </c>
      <c r="C295" s="587" t="s">
        <v>107</v>
      </c>
      <c r="D295" s="256">
        <v>792989</v>
      </c>
      <c r="E295" s="566">
        <v>26.574032</v>
      </c>
    </row>
    <row r="296" spans="1:5" ht="12" customHeight="1">
      <c r="A296" s="885"/>
      <c r="B296" s="167" t="s">
        <v>563</v>
      </c>
      <c r="C296" s="587" t="s">
        <v>107</v>
      </c>
      <c r="D296" s="256">
        <v>305525</v>
      </c>
      <c r="E296" s="566">
        <v>28.154733</v>
      </c>
    </row>
    <row r="297" spans="1:5" ht="12" customHeight="1">
      <c r="A297" s="885"/>
      <c r="B297" s="171" t="s">
        <v>564</v>
      </c>
      <c r="C297" s="589">
        <v>265401</v>
      </c>
      <c r="D297" s="540">
        <v>1098514</v>
      </c>
      <c r="E297" s="567">
        <v>27.004889</v>
      </c>
    </row>
    <row r="298" spans="1:5" ht="12" customHeight="1">
      <c r="A298" s="885">
        <v>62</v>
      </c>
      <c r="B298" s="168" t="s">
        <v>545</v>
      </c>
      <c r="C298" s="584" t="s">
        <v>107</v>
      </c>
      <c r="D298" s="169" t="s">
        <v>107</v>
      </c>
      <c r="E298" s="566">
        <v>0</v>
      </c>
    </row>
    <row r="299" spans="1:5" ht="12" customHeight="1">
      <c r="A299" s="885"/>
      <c r="B299" s="170" t="s">
        <v>558</v>
      </c>
      <c r="C299" s="587">
        <v>7710</v>
      </c>
      <c r="D299" s="256">
        <v>75338</v>
      </c>
      <c r="E299" s="566">
        <v>72.901815</v>
      </c>
    </row>
    <row r="300" spans="1:5" ht="12" customHeight="1">
      <c r="A300" s="885"/>
      <c r="B300" s="170" t="s">
        <v>559</v>
      </c>
      <c r="C300" s="587">
        <v>31</v>
      </c>
      <c r="D300" s="256">
        <v>99</v>
      </c>
      <c r="E300" s="566">
        <v>33.76614</v>
      </c>
    </row>
    <row r="301" spans="1:5" ht="12" customHeight="1">
      <c r="A301" s="885"/>
      <c r="B301" s="171" t="s">
        <v>560</v>
      </c>
      <c r="C301" s="587">
        <v>303</v>
      </c>
      <c r="D301" s="256">
        <v>2288</v>
      </c>
      <c r="E301" s="566">
        <v>87.856278</v>
      </c>
    </row>
    <row r="302" spans="1:5" ht="12" customHeight="1">
      <c r="A302" s="885"/>
      <c r="B302" s="171" t="s">
        <v>561</v>
      </c>
      <c r="C302" s="587">
        <v>7438</v>
      </c>
      <c r="D302" s="256">
        <v>73149</v>
      </c>
      <c r="E302" s="566">
        <v>72.374252</v>
      </c>
    </row>
    <row r="303" spans="1:5" ht="12" customHeight="1">
      <c r="A303" s="885"/>
      <c r="B303" s="167" t="s">
        <v>562</v>
      </c>
      <c r="C303" s="587" t="s">
        <v>107</v>
      </c>
      <c r="D303" s="256">
        <v>43885</v>
      </c>
      <c r="E303" s="566">
        <v>73.336081</v>
      </c>
    </row>
    <row r="304" spans="1:5" ht="12" customHeight="1">
      <c r="A304" s="885"/>
      <c r="B304" s="167" t="s">
        <v>563</v>
      </c>
      <c r="C304" s="587" t="s">
        <v>107</v>
      </c>
      <c r="D304" s="256">
        <v>31552</v>
      </c>
      <c r="E304" s="566">
        <v>72.168497</v>
      </c>
    </row>
    <row r="305" spans="1:5" ht="12" customHeight="1">
      <c r="A305" s="885"/>
      <c r="B305" s="171" t="s">
        <v>564</v>
      </c>
      <c r="C305" s="589">
        <v>7741</v>
      </c>
      <c r="D305" s="540">
        <v>75437</v>
      </c>
      <c r="E305" s="567">
        <v>72.850103</v>
      </c>
    </row>
    <row r="306" spans="1:5" ht="12" customHeight="1">
      <c r="A306" s="885">
        <v>63</v>
      </c>
      <c r="B306" s="168" t="s">
        <v>546</v>
      </c>
      <c r="C306" s="584" t="s">
        <v>107</v>
      </c>
      <c r="D306" s="169" t="s">
        <v>107</v>
      </c>
      <c r="E306" s="566">
        <v>0</v>
      </c>
    </row>
    <row r="307" spans="1:5" ht="12" customHeight="1">
      <c r="A307" s="885"/>
      <c r="B307" s="170" t="s">
        <v>558</v>
      </c>
      <c r="C307" s="587">
        <v>7536</v>
      </c>
      <c r="D307" s="256">
        <v>35365</v>
      </c>
      <c r="E307" s="566">
        <v>45.833489</v>
      </c>
    </row>
    <row r="308" spans="1:5" ht="12" customHeight="1">
      <c r="A308" s="885"/>
      <c r="B308" s="170" t="s">
        <v>559</v>
      </c>
      <c r="C308" s="587">
        <v>7</v>
      </c>
      <c r="D308" s="256">
        <v>20</v>
      </c>
      <c r="E308" s="566">
        <v>25.54386</v>
      </c>
    </row>
    <row r="309" spans="1:5" ht="12" customHeight="1">
      <c r="A309" s="885"/>
      <c r="B309" s="171" t="s">
        <v>560</v>
      </c>
      <c r="C309" s="587">
        <v>6</v>
      </c>
      <c r="D309" s="256">
        <v>84</v>
      </c>
      <c r="E309" s="566">
        <v>53.89294</v>
      </c>
    </row>
    <row r="310" spans="1:5" ht="12" customHeight="1">
      <c r="A310" s="885"/>
      <c r="B310" s="171" t="s">
        <v>561</v>
      </c>
      <c r="C310" s="587">
        <v>7537</v>
      </c>
      <c r="D310" s="256">
        <v>35301</v>
      </c>
      <c r="E310" s="566">
        <v>45.80816</v>
      </c>
    </row>
    <row r="311" spans="1:5" ht="12" customHeight="1">
      <c r="A311" s="885"/>
      <c r="B311" s="167" t="s">
        <v>562</v>
      </c>
      <c r="C311" s="587" t="s">
        <v>107</v>
      </c>
      <c r="D311" s="256">
        <v>17644</v>
      </c>
      <c r="E311" s="566">
        <v>45.521387</v>
      </c>
    </row>
    <row r="312" spans="1:5" ht="12" customHeight="1">
      <c r="A312" s="885"/>
      <c r="B312" s="167" t="s">
        <v>563</v>
      </c>
      <c r="C312" s="587" t="s">
        <v>107</v>
      </c>
      <c r="D312" s="256">
        <v>17741</v>
      </c>
      <c r="E312" s="566">
        <v>46.121016</v>
      </c>
    </row>
    <row r="313" spans="1:5" ht="12" customHeight="1" thickBot="1">
      <c r="A313" s="886"/>
      <c r="B313" s="172" t="s">
        <v>564</v>
      </c>
      <c r="C313" s="541">
        <v>7543</v>
      </c>
      <c r="D313" s="541">
        <v>35385</v>
      </c>
      <c r="E313" s="569">
        <v>45.822018</v>
      </c>
    </row>
    <row r="314" spans="1:5" ht="13.5" thickTop="1">
      <c r="A314" s="161"/>
      <c r="B314" s="162"/>
      <c r="C314" s="597"/>
      <c r="D314" s="165"/>
      <c r="E314" s="573" t="s">
        <v>107</v>
      </c>
    </row>
    <row r="315" spans="1:5" ht="12.75">
      <c r="A315" s="161"/>
      <c r="B315" s="162"/>
      <c r="C315" s="597"/>
      <c r="D315" s="165"/>
      <c r="E315" s="573"/>
    </row>
    <row r="316" spans="1:5" ht="12.75">
      <c r="A316" s="161"/>
      <c r="B316" s="162"/>
      <c r="C316" s="597"/>
      <c r="D316" s="165"/>
      <c r="E316" s="573"/>
    </row>
    <row r="317" spans="1:5" ht="12.75">
      <c r="A317" s="161"/>
      <c r="B317" s="162"/>
      <c r="C317" s="597"/>
      <c r="D317" s="165"/>
      <c r="E317" s="573"/>
    </row>
    <row r="318" spans="1:5" ht="12.75">
      <c r="A318" s="161"/>
      <c r="B318" s="162"/>
      <c r="C318" s="597"/>
      <c r="D318" s="165"/>
      <c r="E318" s="573"/>
    </row>
    <row r="319" spans="1:5" ht="13.5" thickBot="1">
      <c r="A319" s="161"/>
      <c r="B319" s="162"/>
      <c r="C319" s="597"/>
      <c r="D319" s="165"/>
      <c r="E319" s="573"/>
    </row>
    <row r="320" spans="1:5" ht="12.75" customHeight="1" thickTop="1">
      <c r="A320" s="881" t="s">
        <v>500</v>
      </c>
      <c r="B320" s="177" t="s">
        <v>107</v>
      </c>
      <c r="C320" s="593"/>
      <c r="D320" s="173" t="s">
        <v>501</v>
      </c>
      <c r="E320" s="562" t="s">
        <v>502</v>
      </c>
    </row>
    <row r="321" spans="1:5" ht="12.75">
      <c r="A321" s="882"/>
      <c r="B321" s="178" t="s">
        <v>503</v>
      </c>
      <c r="C321" s="594" t="s">
        <v>504</v>
      </c>
      <c r="D321" s="174" t="s">
        <v>505</v>
      </c>
      <c r="E321" s="563" t="s">
        <v>506</v>
      </c>
    </row>
    <row r="322" spans="1:5" ht="12.75">
      <c r="A322" s="882"/>
      <c r="B322" s="179" t="s">
        <v>507</v>
      </c>
      <c r="C322" s="595" t="s">
        <v>508</v>
      </c>
      <c r="D322" s="175" t="s">
        <v>509</v>
      </c>
      <c r="E322" s="563" t="s">
        <v>773</v>
      </c>
    </row>
    <row r="323" spans="1:5" ht="11.25" customHeight="1">
      <c r="A323" s="887"/>
      <c r="B323" s="181"/>
      <c r="C323" s="595" t="s">
        <v>510</v>
      </c>
      <c r="D323" s="175" t="s">
        <v>511</v>
      </c>
      <c r="E323" s="564" t="s">
        <v>512</v>
      </c>
    </row>
    <row r="324" spans="1:5" ht="12" customHeight="1">
      <c r="A324" s="885">
        <v>64</v>
      </c>
      <c r="B324" s="168" t="s">
        <v>547</v>
      </c>
      <c r="C324" s="584" t="s">
        <v>107</v>
      </c>
      <c r="D324" s="169" t="s">
        <v>107</v>
      </c>
      <c r="E324" s="566">
        <v>0</v>
      </c>
    </row>
    <row r="325" spans="1:5" ht="12" customHeight="1">
      <c r="A325" s="885"/>
      <c r="B325" s="170" t="s">
        <v>558</v>
      </c>
      <c r="C325" s="587">
        <v>3857</v>
      </c>
      <c r="D325" s="256">
        <v>12089</v>
      </c>
      <c r="E325" s="566">
        <v>28.708174</v>
      </c>
    </row>
    <row r="326" spans="1:5" ht="12" customHeight="1">
      <c r="A326" s="885"/>
      <c r="B326" s="170" t="s">
        <v>559</v>
      </c>
      <c r="C326" s="587">
        <v>15</v>
      </c>
      <c r="D326" s="256">
        <v>79</v>
      </c>
      <c r="E326" s="566">
        <v>25.533424</v>
      </c>
    </row>
    <row r="327" spans="1:5" ht="12" customHeight="1">
      <c r="A327" s="885"/>
      <c r="B327" s="171" t="s">
        <v>560</v>
      </c>
      <c r="C327" s="587">
        <v>2</v>
      </c>
      <c r="D327" s="256">
        <v>47</v>
      </c>
      <c r="E327" s="566">
        <v>59.315827</v>
      </c>
    </row>
    <row r="328" spans="1:5" ht="12" customHeight="1">
      <c r="A328" s="885"/>
      <c r="B328" s="171" t="s">
        <v>561</v>
      </c>
      <c r="C328" s="587">
        <v>3870</v>
      </c>
      <c r="D328" s="256">
        <v>12121</v>
      </c>
      <c r="E328" s="566">
        <v>28.558456</v>
      </c>
    </row>
    <row r="329" spans="1:5" ht="12" customHeight="1">
      <c r="A329" s="885"/>
      <c r="B329" s="167" t="s">
        <v>562</v>
      </c>
      <c r="C329" s="587" t="s">
        <v>107</v>
      </c>
      <c r="D329" s="256">
        <v>8131</v>
      </c>
      <c r="E329" s="566">
        <v>28.282095</v>
      </c>
    </row>
    <row r="330" spans="1:5" ht="12" customHeight="1">
      <c r="A330" s="885"/>
      <c r="B330" s="167" t="s">
        <v>563</v>
      </c>
      <c r="C330" s="587" t="s">
        <v>107</v>
      </c>
      <c r="D330" s="256">
        <v>4037</v>
      </c>
      <c r="E330" s="566">
        <v>29.520098</v>
      </c>
    </row>
    <row r="331" spans="1:5" ht="12" customHeight="1">
      <c r="A331" s="885"/>
      <c r="B331" s="171" t="s">
        <v>564</v>
      </c>
      <c r="C331" s="589">
        <v>3872</v>
      </c>
      <c r="D331" s="540">
        <v>12168</v>
      </c>
      <c r="E331" s="567">
        <v>28.68728</v>
      </c>
    </row>
    <row r="332" spans="1:5" ht="12" customHeight="1">
      <c r="A332" s="885">
        <v>71</v>
      </c>
      <c r="B332" s="168" t="s">
        <v>548</v>
      </c>
      <c r="C332" s="584" t="s">
        <v>107</v>
      </c>
      <c r="D332" s="169" t="s">
        <v>107</v>
      </c>
      <c r="E332" s="566">
        <v>0</v>
      </c>
    </row>
    <row r="333" spans="1:5" ht="12" customHeight="1">
      <c r="A333" s="885"/>
      <c r="B333" s="170" t="s">
        <v>558</v>
      </c>
      <c r="C333" s="587">
        <v>82939</v>
      </c>
      <c r="D333" s="256">
        <v>479342</v>
      </c>
      <c r="E333" s="566">
        <v>32.01142</v>
      </c>
    </row>
    <row r="334" spans="1:5" ht="12" customHeight="1">
      <c r="A334" s="885"/>
      <c r="B334" s="170" t="s">
        <v>559</v>
      </c>
      <c r="C334" s="587">
        <v>4926</v>
      </c>
      <c r="D334" s="256">
        <v>80349</v>
      </c>
      <c r="E334" s="566">
        <v>26.184434</v>
      </c>
    </row>
    <row r="335" spans="1:5" ht="12" customHeight="1">
      <c r="A335" s="885"/>
      <c r="B335" s="171" t="s">
        <v>560</v>
      </c>
      <c r="C335" s="587">
        <v>1280</v>
      </c>
      <c r="D335" s="256">
        <v>27666</v>
      </c>
      <c r="E335" s="566">
        <v>67.274261</v>
      </c>
    </row>
    <row r="336" spans="1:5" ht="12" customHeight="1">
      <c r="A336" s="885"/>
      <c r="B336" s="171" t="s">
        <v>561</v>
      </c>
      <c r="C336" s="587">
        <v>86585</v>
      </c>
      <c r="D336" s="256">
        <v>532025</v>
      </c>
      <c r="E336" s="566">
        <v>29.186214</v>
      </c>
    </row>
    <row r="337" spans="1:5" ht="12" customHeight="1">
      <c r="A337" s="885"/>
      <c r="B337" s="167" t="s">
        <v>562</v>
      </c>
      <c r="C337" s="587" t="s">
        <v>107</v>
      </c>
      <c r="D337" s="256">
        <v>495082</v>
      </c>
      <c r="E337" s="566">
        <v>30.590176</v>
      </c>
    </row>
    <row r="338" spans="1:5" ht="12" customHeight="1">
      <c r="A338" s="885"/>
      <c r="B338" s="167" t="s">
        <v>563</v>
      </c>
      <c r="C338" s="587" t="s">
        <v>107</v>
      </c>
      <c r="D338" s="256">
        <v>64609</v>
      </c>
      <c r="E338" s="566">
        <v>35.93633</v>
      </c>
    </row>
    <row r="339" spans="1:5" ht="12" customHeight="1">
      <c r="A339" s="885"/>
      <c r="B339" s="171" t="s">
        <v>564</v>
      </c>
      <c r="C339" s="589">
        <v>87865</v>
      </c>
      <c r="D339" s="540">
        <v>559691</v>
      </c>
      <c r="E339" s="567">
        <v>31.192031</v>
      </c>
    </row>
    <row r="340" spans="1:5" ht="12" customHeight="1">
      <c r="A340" s="885">
        <v>72</v>
      </c>
      <c r="B340" s="168" t="s">
        <v>549</v>
      </c>
      <c r="C340" s="584" t="s">
        <v>107</v>
      </c>
      <c r="D340" s="169" t="s">
        <v>107</v>
      </c>
      <c r="E340" s="566">
        <v>0</v>
      </c>
    </row>
    <row r="341" spans="1:5" ht="12" customHeight="1">
      <c r="A341" s="885"/>
      <c r="B341" s="170" t="s">
        <v>558</v>
      </c>
      <c r="C341" s="587">
        <v>3349</v>
      </c>
      <c r="D341" s="256">
        <v>46083</v>
      </c>
      <c r="E341" s="566">
        <v>38.30368</v>
      </c>
    </row>
    <row r="342" spans="1:5" ht="12" customHeight="1">
      <c r="A342" s="885"/>
      <c r="B342" s="170" t="s">
        <v>559</v>
      </c>
      <c r="C342" s="587">
        <v>37</v>
      </c>
      <c r="D342" s="256">
        <v>457</v>
      </c>
      <c r="E342" s="566">
        <v>39.063349</v>
      </c>
    </row>
    <row r="343" spans="1:5" ht="12" customHeight="1">
      <c r="A343" s="885"/>
      <c r="B343" s="171" t="s">
        <v>560</v>
      </c>
      <c r="C343" s="587">
        <v>124</v>
      </c>
      <c r="D343" s="256">
        <v>1762</v>
      </c>
      <c r="E343" s="566">
        <v>58.545099</v>
      </c>
    </row>
    <row r="344" spans="1:5" ht="12" customHeight="1">
      <c r="A344" s="885"/>
      <c r="B344" s="171" t="s">
        <v>561</v>
      </c>
      <c r="C344" s="587">
        <v>3262</v>
      </c>
      <c r="D344" s="256">
        <v>44778</v>
      </c>
      <c r="E344" s="566">
        <v>37.476577</v>
      </c>
    </row>
    <row r="345" spans="1:5" ht="12" customHeight="1">
      <c r="A345" s="885"/>
      <c r="B345" s="167" t="s">
        <v>562</v>
      </c>
      <c r="C345" s="587" t="s">
        <v>107</v>
      </c>
      <c r="D345" s="256">
        <v>34650</v>
      </c>
      <c r="E345" s="566">
        <v>39.976957</v>
      </c>
    </row>
    <row r="346" spans="1:5" ht="12" customHeight="1">
      <c r="A346" s="885"/>
      <c r="B346" s="167" t="s">
        <v>563</v>
      </c>
      <c r="C346" s="587" t="s">
        <v>107</v>
      </c>
      <c r="D346" s="256">
        <v>11890</v>
      </c>
      <c r="E346" s="566">
        <v>32.637683</v>
      </c>
    </row>
    <row r="347" spans="1:5" ht="12" customHeight="1">
      <c r="A347" s="885"/>
      <c r="B347" s="171" t="s">
        <v>564</v>
      </c>
      <c r="C347" s="589">
        <v>3386</v>
      </c>
      <c r="D347" s="540">
        <v>46540</v>
      </c>
      <c r="E347" s="567">
        <v>38.310241</v>
      </c>
    </row>
    <row r="348" spans="1:5" ht="12" customHeight="1">
      <c r="A348" s="885">
        <v>73</v>
      </c>
      <c r="B348" s="168" t="s">
        <v>550</v>
      </c>
      <c r="C348" s="584" t="s">
        <v>107</v>
      </c>
      <c r="D348" s="169" t="s">
        <v>107</v>
      </c>
      <c r="E348" s="566">
        <v>0</v>
      </c>
    </row>
    <row r="349" spans="1:5" ht="12" customHeight="1">
      <c r="A349" s="885"/>
      <c r="B349" s="170" t="s">
        <v>558</v>
      </c>
      <c r="C349" s="587">
        <v>1098</v>
      </c>
      <c r="D349" s="256">
        <v>8568</v>
      </c>
      <c r="E349" s="566">
        <v>56.68978</v>
      </c>
    </row>
    <row r="350" spans="1:5" ht="12" customHeight="1">
      <c r="A350" s="885"/>
      <c r="B350" s="170" t="s">
        <v>559</v>
      </c>
      <c r="C350" s="587">
        <v>79</v>
      </c>
      <c r="D350" s="256">
        <v>2766</v>
      </c>
      <c r="E350" s="566">
        <v>23.845125</v>
      </c>
    </row>
    <row r="351" spans="1:5" ht="12" customHeight="1">
      <c r="A351" s="885"/>
      <c r="B351" s="171" t="s">
        <v>560</v>
      </c>
      <c r="C351" s="587">
        <v>58</v>
      </c>
      <c r="D351" s="256">
        <v>753</v>
      </c>
      <c r="E351" s="566">
        <v>73.287019</v>
      </c>
    </row>
    <row r="352" spans="1:5" ht="12" customHeight="1">
      <c r="A352" s="885"/>
      <c r="B352" s="171" t="s">
        <v>561</v>
      </c>
      <c r="C352" s="587">
        <v>1119</v>
      </c>
      <c r="D352" s="256">
        <v>10581</v>
      </c>
      <c r="E352" s="566">
        <v>46.782773</v>
      </c>
    </row>
    <row r="353" spans="1:5" ht="12" customHeight="1">
      <c r="A353" s="885"/>
      <c r="B353" s="167" t="s">
        <v>562</v>
      </c>
      <c r="C353" s="587" t="s">
        <v>107</v>
      </c>
      <c r="D353" s="256">
        <v>8556</v>
      </c>
      <c r="E353" s="566">
        <v>45.203098</v>
      </c>
    </row>
    <row r="354" spans="1:5" ht="12" customHeight="1">
      <c r="A354" s="885"/>
      <c r="B354" s="167" t="s">
        <v>563</v>
      </c>
      <c r="C354" s="587" t="s">
        <v>107</v>
      </c>
      <c r="D354" s="256">
        <v>2778</v>
      </c>
      <c r="E354" s="566">
        <v>59.228063</v>
      </c>
    </row>
    <row r="355" spans="1:5" ht="12" customHeight="1">
      <c r="A355" s="885"/>
      <c r="B355" s="171" t="s">
        <v>564</v>
      </c>
      <c r="C355" s="589">
        <v>1177</v>
      </c>
      <c r="D355" s="540">
        <v>11334</v>
      </c>
      <c r="E355" s="567">
        <v>48.6462</v>
      </c>
    </row>
    <row r="356" spans="1:5" ht="12" customHeight="1">
      <c r="A356" s="885">
        <v>81</v>
      </c>
      <c r="B356" s="168" t="s">
        <v>551</v>
      </c>
      <c r="C356" s="584" t="s">
        <v>107</v>
      </c>
      <c r="D356" s="169" t="s">
        <v>107</v>
      </c>
      <c r="E356" s="566">
        <v>0</v>
      </c>
    </row>
    <row r="357" spans="1:5" ht="12" customHeight="1">
      <c r="A357" s="885"/>
      <c r="B357" s="170" t="s">
        <v>558</v>
      </c>
      <c r="C357" s="587">
        <v>7178</v>
      </c>
      <c r="D357" s="256">
        <v>58595</v>
      </c>
      <c r="E357" s="566">
        <v>29.922624</v>
      </c>
    </row>
    <row r="358" spans="1:5" ht="12" customHeight="1">
      <c r="A358" s="885"/>
      <c r="B358" s="170" t="s">
        <v>559</v>
      </c>
      <c r="C358" s="587">
        <v>4704</v>
      </c>
      <c r="D358" s="256">
        <v>69616</v>
      </c>
      <c r="E358" s="566">
        <v>26.37988</v>
      </c>
    </row>
    <row r="359" spans="1:5" ht="12" customHeight="1">
      <c r="A359" s="885"/>
      <c r="B359" s="171" t="s">
        <v>560</v>
      </c>
      <c r="C359" s="587">
        <v>1118</v>
      </c>
      <c r="D359" s="256">
        <v>11770</v>
      </c>
      <c r="E359" s="566">
        <v>52.205296</v>
      </c>
    </row>
    <row r="360" spans="1:5" ht="12" customHeight="1">
      <c r="A360" s="885"/>
      <c r="B360" s="171" t="s">
        <v>561</v>
      </c>
      <c r="C360" s="587">
        <v>10764</v>
      </c>
      <c r="D360" s="256">
        <v>116441</v>
      </c>
      <c r="E360" s="566">
        <v>25.302822</v>
      </c>
    </row>
    <row r="361" spans="1:5" ht="12" customHeight="1">
      <c r="A361" s="885"/>
      <c r="B361" s="167" t="s">
        <v>562</v>
      </c>
      <c r="C361" s="587" t="s">
        <v>107</v>
      </c>
      <c r="D361" s="256">
        <v>116383</v>
      </c>
      <c r="E361" s="566">
        <v>28.13783</v>
      </c>
    </row>
    <row r="362" spans="1:5" ht="12" customHeight="1">
      <c r="A362" s="885"/>
      <c r="B362" s="167" t="s">
        <v>563</v>
      </c>
      <c r="C362" s="587" t="s">
        <v>107</v>
      </c>
      <c r="D362" s="256">
        <v>11828</v>
      </c>
      <c r="E362" s="566">
        <v>26.611174</v>
      </c>
    </row>
    <row r="363" spans="1:5" ht="12" customHeight="1">
      <c r="A363" s="885"/>
      <c r="B363" s="171" t="s">
        <v>564</v>
      </c>
      <c r="C363" s="589">
        <v>11882</v>
      </c>
      <c r="D363" s="540">
        <v>128211</v>
      </c>
      <c r="E363" s="567">
        <v>27.999151</v>
      </c>
    </row>
    <row r="364" spans="1:5" ht="12" customHeight="1">
      <c r="A364" s="885">
        <v>82</v>
      </c>
      <c r="B364" s="168" t="s">
        <v>552</v>
      </c>
      <c r="C364" s="584" t="s">
        <v>107</v>
      </c>
      <c r="D364" s="169" t="s">
        <v>107</v>
      </c>
      <c r="E364" s="566">
        <v>0</v>
      </c>
    </row>
    <row r="365" spans="1:5" ht="12" customHeight="1">
      <c r="A365" s="885"/>
      <c r="B365" s="170" t="s">
        <v>558</v>
      </c>
      <c r="C365" s="587">
        <v>44349</v>
      </c>
      <c r="D365" s="256">
        <v>405953</v>
      </c>
      <c r="E365" s="566">
        <v>36.501129</v>
      </c>
    </row>
    <row r="366" spans="1:5" ht="12" customHeight="1">
      <c r="A366" s="885"/>
      <c r="B366" s="170" t="s">
        <v>559</v>
      </c>
      <c r="C366" s="587">
        <v>4840</v>
      </c>
      <c r="D366" s="256">
        <v>61444</v>
      </c>
      <c r="E366" s="566">
        <v>37.875887</v>
      </c>
    </row>
    <row r="367" spans="1:5" ht="12" customHeight="1">
      <c r="A367" s="885"/>
      <c r="B367" s="171" t="s">
        <v>560</v>
      </c>
      <c r="C367" s="587">
        <v>11469</v>
      </c>
      <c r="D367" s="256">
        <v>135796</v>
      </c>
      <c r="E367" s="566">
        <v>48.512177</v>
      </c>
    </row>
    <row r="368" spans="1:5" ht="12" customHeight="1">
      <c r="A368" s="885"/>
      <c r="B368" s="171" t="s">
        <v>561</v>
      </c>
      <c r="C368" s="587">
        <v>37720</v>
      </c>
      <c r="D368" s="256">
        <v>331601</v>
      </c>
      <c r="E368" s="566">
        <v>33.578318</v>
      </c>
    </row>
    <row r="369" spans="1:5" ht="12" customHeight="1">
      <c r="A369" s="885"/>
      <c r="B369" s="167" t="s">
        <v>562</v>
      </c>
      <c r="C369" s="587" t="s">
        <v>107</v>
      </c>
      <c r="D369" s="256">
        <v>207938</v>
      </c>
      <c r="E369" s="566">
        <v>37.689786</v>
      </c>
    </row>
    <row r="370" spans="1:5" ht="12" customHeight="1">
      <c r="A370" s="885"/>
      <c r="B370" s="167" t="s">
        <v>563</v>
      </c>
      <c r="C370" s="587" t="s">
        <v>107</v>
      </c>
      <c r="D370" s="256">
        <v>259459</v>
      </c>
      <c r="E370" s="566">
        <v>35.735722</v>
      </c>
    </row>
    <row r="371" spans="1:5" ht="12" customHeight="1">
      <c r="A371" s="885"/>
      <c r="B371" s="171" t="s">
        <v>564</v>
      </c>
      <c r="C371" s="589">
        <v>49189</v>
      </c>
      <c r="D371" s="540">
        <v>467397</v>
      </c>
      <c r="E371" s="567">
        <v>36.644279</v>
      </c>
    </row>
    <row r="372" spans="1:5" ht="12" customHeight="1">
      <c r="A372" s="885">
        <v>83</v>
      </c>
      <c r="B372" s="168" t="s">
        <v>553</v>
      </c>
      <c r="C372" s="584" t="s">
        <v>107</v>
      </c>
      <c r="D372" s="169" t="s">
        <v>107</v>
      </c>
      <c r="E372" s="566">
        <v>0</v>
      </c>
    </row>
    <row r="373" spans="1:5" ht="12" customHeight="1">
      <c r="A373" s="885"/>
      <c r="B373" s="170" t="s">
        <v>558</v>
      </c>
      <c r="C373" s="587">
        <v>90926</v>
      </c>
      <c r="D373" s="256">
        <v>558947</v>
      </c>
      <c r="E373" s="566">
        <v>45.101125</v>
      </c>
    </row>
    <row r="374" spans="1:5" ht="12" customHeight="1">
      <c r="A374" s="885"/>
      <c r="B374" s="170" t="s">
        <v>559</v>
      </c>
      <c r="C374" s="587">
        <v>1952</v>
      </c>
      <c r="D374" s="256">
        <v>45279</v>
      </c>
      <c r="E374" s="566">
        <v>26.888882</v>
      </c>
    </row>
    <row r="375" spans="1:5" ht="12" customHeight="1">
      <c r="A375" s="885"/>
      <c r="B375" s="171" t="s">
        <v>560</v>
      </c>
      <c r="C375" s="587">
        <v>2650</v>
      </c>
      <c r="D375" s="256">
        <v>62173</v>
      </c>
      <c r="E375" s="566">
        <v>56.717729</v>
      </c>
    </row>
    <row r="376" spans="1:5" ht="12" customHeight="1">
      <c r="A376" s="885"/>
      <c r="B376" s="171" t="s">
        <v>561</v>
      </c>
      <c r="C376" s="587">
        <v>90228</v>
      </c>
      <c r="D376" s="256">
        <v>542053</v>
      </c>
      <c r="E376" s="566">
        <v>42.255414</v>
      </c>
    </row>
    <row r="377" spans="1:5" ht="12" customHeight="1">
      <c r="A377" s="885"/>
      <c r="B377" s="167" t="s">
        <v>562</v>
      </c>
      <c r="C377" s="587" t="s">
        <v>107</v>
      </c>
      <c r="D377" s="256">
        <v>373685</v>
      </c>
      <c r="E377" s="566">
        <v>45.86243</v>
      </c>
    </row>
    <row r="378" spans="1:5" ht="12" customHeight="1">
      <c r="A378" s="885"/>
      <c r="B378" s="167" t="s">
        <v>563</v>
      </c>
      <c r="C378" s="587" t="s">
        <v>107</v>
      </c>
      <c r="D378" s="256">
        <v>230541</v>
      </c>
      <c r="E378" s="566">
        <v>40.31661</v>
      </c>
    </row>
    <row r="379" spans="1:5" ht="12" customHeight="1" thickBot="1">
      <c r="A379" s="886"/>
      <c r="B379" s="172" t="s">
        <v>564</v>
      </c>
      <c r="C379" s="541">
        <v>92878</v>
      </c>
      <c r="D379" s="541">
        <v>604226</v>
      </c>
      <c r="E379" s="569">
        <v>43.779091</v>
      </c>
    </row>
    <row r="380" spans="1:5" ht="13.5" thickTop="1">
      <c r="A380" s="161"/>
      <c r="B380" s="162"/>
      <c r="C380" s="598"/>
      <c r="D380" s="166"/>
      <c r="E380" s="571" t="s">
        <v>107</v>
      </c>
    </row>
    <row r="381" spans="1:5" ht="12.75">
      <c r="A381" s="161"/>
      <c r="B381" s="162"/>
      <c r="C381" s="598"/>
      <c r="D381" s="166"/>
      <c r="E381" s="571"/>
    </row>
    <row r="382" spans="1:5" ht="12.75">
      <c r="A382" s="161"/>
      <c r="B382" s="162"/>
      <c r="C382" s="598"/>
      <c r="D382" s="166"/>
      <c r="E382" s="571"/>
    </row>
    <row r="383" spans="1:5" ht="13.5" thickBot="1">
      <c r="A383" s="161"/>
      <c r="B383" s="162"/>
      <c r="C383" s="598"/>
      <c r="D383" s="166"/>
      <c r="E383" s="571"/>
    </row>
    <row r="384" spans="1:5" ht="12.75" customHeight="1" thickTop="1">
      <c r="A384" s="888" t="s">
        <v>500</v>
      </c>
      <c r="B384" s="177" t="s">
        <v>107</v>
      </c>
      <c r="C384" s="593"/>
      <c r="D384" s="173" t="s">
        <v>501</v>
      </c>
      <c r="E384" s="562" t="s">
        <v>502</v>
      </c>
    </row>
    <row r="385" spans="1:5" ht="12.75">
      <c r="A385" s="889"/>
      <c r="B385" s="178" t="s">
        <v>503</v>
      </c>
      <c r="C385" s="594" t="s">
        <v>504</v>
      </c>
      <c r="D385" s="174" t="s">
        <v>505</v>
      </c>
      <c r="E385" s="563" t="s">
        <v>506</v>
      </c>
    </row>
    <row r="386" spans="1:5" ht="12.75">
      <c r="A386" s="889"/>
      <c r="B386" s="179" t="s">
        <v>507</v>
      </c>
      <c r="C386" s="595" t="s">
        <v>508</v>
      </c>
      <c r="D386" s="175" t="s">
        <v>509</v>
      </c>
      <c r="E386" s="563" t="s">
        <v>773</v>
      </c>
    </row>
    <row r="387" spans="1:5" ht="11.25" customHeight="1">
      <c r="A387" s="890"/>
      <c r="B387" s="180"/>
      <c r="C387" s="599" t="s">
        <v>510</v>
      </c>
      <c r="D387" s="176" t="s">
        <v>511</v>
      </c>
      <c r="E387" s="564" t="s">
        <v>512</v>
      </c>
    </row>
    <row r="388" spans="1:5" ht="12.75">
      <c r="A388" s="885">
        <v>84</v>
      </c>
      <c r="B388" s="168" t="s">
        <v>554</v>
      </c>
      <c r="C388" s="584" t="s">
        <v>107</v>
      </c>
      <c r="D388" s="169" t="s">
        <v>107</v>
      </c>
      <c r="E388" s="565">
        <v>0</v>
      </c>
    </row>
    <row r="389" spans="1:5" ht="12.75">
      <c r="A389" s="885"/>
      <c r="B389" s="170" t="s">
        <v>558</v>
      </c>
      <c r="C389" s="587">
        <v>8311</v>
      </c>
      <c r="D389" s="256">
        <v>53003</v>
      </c>
      <c r="E389" s="566">
        <v>34.881459</v>
      </c>
    </row>
    <row r="390" spans="1:5" ht="12.75">
      <c r="A390" s="885"/>
      <c r="B390" s="170" t="s">
        <v>559</v>
      </c>
      <c r="C390" s="587">
        <v>291</v>
      </c>
      <c r="D390" s="256">
        <v>3719</v>
      </c>
      <c r="E390" s="566">
        <v>31.092679</v>
      </c>
    </row>
    <row r="391" spans="1:5" ht="12.75">
      <c r="A391" s="885"/>
      <c r="B391" s="171" t="s">
        <v>560</v>
      </c>
      <c r="C391" s="587">
        <v>115</v>
      </c>
      <c r="D391" s="256">
        <v>2659</v>
      </c>
      <c r="E391" s="566">
        <v>48.616706</v>
      </c>
    </row>
    <row r="392" spans="1:5" ht="12.75">
      <c r="A392" s="885"/>
      <c r="B392" s="171" t="s">
        <v>561</v>
      </c>
      <c r="C392" s="587">
        <v>8487</v>
      </c>
      <c r="D392" s="256">
        <v>54063</v>
      </c>
      <c r="E392" s="566">
        <v>34.035448</v>
      </c>
    </row>
    <row r="393" spans="1:5" ht="12.75">
      <c r="A393" s="885"/>
      <c r="B393" s="167" t="s">
        <v>562</v>
      </c>
      <c r="C393" s="587" t="s">
        <v>107</v>
      </c>
      <c r="D393" s="256">
        <v>40209</v>
      </c>
      <c r="E393" s="566">
        <v>34.549372</v>
      </c>
    </row>
    <row r="394" spans="1:5" ht="12.75">
      <c r="A394" s="885"/>
      <c r="B394" s="167" t="s">
        <v>563</v>
      </c>
      <c r="C394" s="587" t="s">
        <v>107</v>
      </c>
      <c r="D394" s="256">
        <v>16513</v>
      </c>
      <c r="E394" s="566">
        <v>35.018528</v>
      </c>
    </row>
    <row r="395" spans="1:5" ht="12.75">
      <c r="A395" s="885"/>
      <c r="B395" s="171" t="s">
        <v>564</v>
      </c>
      <c r="C395" s="589">
        <v>8602</v>
      </c>
      <c r="D395" s="540">
        <v>56722</v>
      </c>
      <c r="E395" s="574">
        <v>34.682544</v>
      </c>
    </row>
    <row r="396" spans="1:5" ht="12.75">
      <c r="A396" s="885">
        <v>85</v>
      </c>
      <c r="B396" s="168" t="s">
        <v>555</v>
      </c>
      <c r="C396" s="584" t="s">
        <v>107</v>
      </c>
      <c r="D396" s="169" t="s">
        <v>107</v>
      </c>
      <c r="E396" s="565">
        <v>0</v>
      </c>
    </row>
    <row r="397" spans="1:5" ht="12.75">
      <c r="A397" s="885"/>
      <c r="B397" s="170" t="s">
        <v>558</v>
      </c>
      <c r="C397" s="587">
        <v>93160</v>
      </c>
      <c r="D397" s="256">
        <v>547303</v>
      </c>
      <c r="E397" s="566">
        <v>25.038414</v>
      </c>
    </row>
    <row r="398" spans="1:5" ht="12.75">
      <c r="A398" s="885"/>
      <c r="B398" s="170" t="s">
        <v>559</v>
      </c>
      <c r="C398" s="587">
        <v>13014</v>
      </c>
      <c r="D398" s="256">
        <v>234491</v>
      </c>
      <c r="E398" s="566">
        <v>21.755722</v>
      </c>
    </row>
    <row r="399" spans="1:5" ht="12.75">
      <c r="A399" s="885"/>
      <c r="B399" s="171" t="s">
        <v>560</v>
      </c>
      <c r="C399" s="587">
        <v>2446</v>
      </c>
      <c r="D399" s="256">
        <v>27270</v>
      </c>
      <c r="E399" s="566">
        <v>35.867243</v>
      </c>
    </row>
    <row r="400" spans="1:5" ht="12.75">
      <c r="A400" s="885"/>
      <c r="B400" s="171" t="s">
        <v>561</v>
      </c>
      <c r="C400" s="587">
        <v>103728</v>
      </c>
      <c r="D400" s="256">
        <v>754524</v>
      </c>
      <c r="E400" s="566">
        <v>23.658264</v>
      </c>
    </row>
    <row r="401" spans="1:5" ht="12.75">
      <c r="A401" s="885"/>
      <c r="B401" s="167" t="s">
        <v>562</v>
      </c>
      <c r="C401" s="587" t="s">
        <v>107</v>
      </c>
      <c r="D401" s="256">
        <v>586117</v>
      </c>
      <c r="E401" s="566">
        <v>24.150813</v>
      </c>
    </row>
    <row r="402" spans="1:5" ht="12.75">
      <c r="A402" s="885"/>
      <c r="B402" s="167" t="s">
        <v>563</v>
      </c>
      <c r="C402" s="587" t="s">
        <v>107</v>
      </c>
      <c r="D402" s="256">
        <v>195677</v>
      </c>
      <c r="E402" s="566">
        <v>23.727098</v>
      </c>
    </row>
    <row r="403" spans="1:5" ht="12.75">
      <c r="A403" s="885"/>
      <c r="B403" s="171" t="s">
        <v>564</v>
      </c>
      <c r="C403" s="589">
        <v>106174</v>
      </c>
      <c r="D403" s="540">
        <v>781794</v>
      </c>
      <c r="E403" s="567">
        <v>24.047058</v>
      </c>
    </row>
    <row r="404" spans="1:5" ht="12.75">
      <c r="A404" s="885" t="s">
        <v>107</v>
      </c>
      <c r="B404" s="168" t="s">
        <v>556</v>
      </c>
      <c r="C404" s="585" t="s">
        <v>107</v>
      </c>
      <c r="D404" s="169" t="s">
        <v>107</v>
      </c>
      <c r="E404" s="566"/>
    </row>
    <row r="405" spans="1:5" ht="12.75">
      <c r="A405" s="885"/>
      <c r="B405" s="170" t="s">
        <v>558</v>
      </c>
      <c r="C405" s="600">
        <f aca="true" t="shared" si="0" ref="C405:D408">+C10+C18+C26+C34+C42+C50+C65+C73+C81+C89+C97+C105+C113+C129+C137+C145+C153+C161+C169+C177+C195+C203+C211+C219+C227+C235+C243+C259+C267+C275+C283+C291+C299+C307+C325+C333+C341+C349+C357+C365+C373+C389+C397</f>
        <v>936875</v>
      </c>
      <c r="D405" s="529">
        <f t="shared" si="0"/>
        <v>6803976</v>
      </c>
      <c r="E405" s="567">
        <v>33.469057</v>
      </c>
    </row>
    <row r="406" spans="1:5" ht="12.75">
      <c r="A406" s="885"/>
      <c r="B406" s="170" t="s">
        <v>559</v>
      </c>
      <c r="C406" s="600">
        <f t="shared" si="0"/>
        <v>159190</v>
      </c>
      <c r="D406" s="529">
        <f t="shared" si="0"/>
        <v>1603649</v>
      </c>
      <c r="E406" s="567">
        <v>24.265117</v>
      </c>
    </row>
    <row r="407" spans="1:5" ht="12.75">
      <c r="A407" s="885"/>
      <c r="B407" s="171" t="s">
        <v>560</v>
      </c>
      <c r="C407" s="600">
        <f t="shared" si="0"/>
        <v>29470</v>
      </c>
      <c r="D407" s="529">
        <f t="shared" si="0"/>
        <v>685930</v>
      </c>
      <c r="E407" s="567">
        <v>59.273464</v>
      </c>
    </row>
    <row r="408" spans="1:5" ht="12.75">
      <c r="A408" s="885"/>
      <c r="B408" s="171" t="s">
        <v>561</v>
      </c>
      <c r="C408" s="600">
        <f t="shared" si="0"/>
        <v>1066595</v>
      </c>
      <c r="D408" s="529">
        <f t="shared" si="0"/>
        <v>7721695</v>
      </c>
      <c r="E408" s="567">
        <v>29.505347</v>
      </c>
    </row>
    <row r="409" spans="1:5" ht="12.75">
      <c r="A409" s="885"/>
      <c r="B409" s="167" t="s">
        <v>562</v>
      </c>
      <c r="C409" s="601">
        <v>0</v>
      </c>
      <c r="D409" s="529">
        <f>+D14+D22+D30+D38+D46+D54+D69+D77+D85+D93+D101+D109+D117+D133+D141+D149+D157+D165+D173+D181+D199+D207+D215+D223+D231+D239+D247+D263+D271+D279+D287+D295+D303+D311+D329+D337+D345+D353+D361+D369+D377+D393+D401</f>
        <v>6596688</v>
      </c>
      <c r="E409" s="567">
        <v>31.955297</v>
      </c>
    </row>
    <row r="410" spans="1:5" ht="12.75">
      <c r="A410" s="885"/>
      <c r="B410" s="167" t="s">
        <v>563</v>
      </c>
      <c r="C410" s="601">
        <v>0</v>
      </c>
      <c r="D410" s="529">
        <f>+D15+D23+D31+D39+D47+D55+D70+D78+D86+D94+D102+D110+D118+D134+D142+D150+D158+D166+D174+D182+D200+D208+D216+D224+D232+D240+D248+D264+D272+D280+D288+D296+D304+D312+D330+D338+D346+D354+D362+D370+D378+D394+D402</f>
        <v>1810937</v>
      </c>
      <c r="E410" s="567">
        <v>31.643671</v>
      </c>
    </row>
    <row r="411" spans="1:5" ht="13.5" thickBot="1">
      <c r="A411" s="886"/>
      <c r="B411" s="172" t="s">
        <v>564</v>
      </c>
      <c r="C411" s="602">
        <f>+C16+C24+C32+C40+C48+C56+C71+C79+C87+C95+C103+C111+C119+C135+C143+C151+C159+C167+C175+C183+C201+C209+C217+C225+C233+C241+C249+C265+C273+C281+C289+C297+C305+C313+C331+C339+C347+C355+C363+C371+C379+C395+C403</f>
        <v>1096065</v>
      </c>
      <c r="D411" s="530">
        <f>+D16+D24+D32+D40+D48+D56+D71+D79+D87+D95+D103+D111+D119+D135+D143+D151+D159+D167+D175+D183+D201+D209+D217+D225+D233+D241+D249+D265+D273+D281+D289+D297+D305+D313+D331+D339+D347+D355+D363+D371+D379+D395+D403</f>
        <v>8407625</v>
      </c>
      <c r="E411" s="569">
        <v>31.889199</v>
      </c>
    </row>
    <row r="412" ht="13.5" thickTop="1"/>
  </sheetData>
  <mergeCells count="55">
    <mergeCell ref="A388:A395"/>
    <mergeCell ref="A396:A403"/>
    <mergeCell ref="A404:A411"/>
    <mergeCell ref="A320:A323"/>
    <mergeCell ref="A356:A363"/>
    <mergeCell ref="A364:A371"/>
    <mergeCell ref="A372:A379"/>
    <mergeCell ref="A384:A387"/>
    <mergeCell ref="A324:A331"/>
    <mergeCell ref="A332:A339"/>
    <mergeCell ref="A226:A233"/>
    <mergeCell ref="A340:A347"/>
    <mergeCell ref="A348:A355"/>
    <mergeCell ref="A258:A265"/>
    <mergeCell ref="A266:A273"/>
    <mergeCell ref="A274:A281"/>
    <mergeCell ref="A282:A289"/>
    <mergeCell ref="A306:A313"/>
    <mergeCell ref="A290:A297"/>
    <mergeCell ref="A298:A305"/>
    <mergeCell ref="A234:A241"/>
    <mergeCell ref="A242:A249"/>
    <mergeCell ref="A254:A257"/>
    <mergeCell ref="A168:A175"/>
    <mergeCell ref="A176:A183"/>
    <mergeCell ref="A190:A193"/>
    <mergeCell ref="A194:A201"/>
    <mergeCell ref="A202:A209"/>
    <mergeCell ref="A210:A217"/>
    <mergeCell ref="A218:A225"/>
    <mergeCell ref="A136:A143"/>
    <mergeCell ref="A144:A151"/>
    <mergeCell ref="A152:A159"/>
    <mergeCell ref="A160:A167"/>
    <mergeCell ref="A104:A111"/>
    <mergeCell ref="A112:A119"/>
    <mergeCell ref="A124:A127"/>
    <mergeCell ref="A128:A135"/>
    <mergeCell ref="A72:A79"/>
    <mergeCell ref="A80:A87"/>
    <mergeCell ref="A88:A95"/>
    <mergeCell ref="A96:A103"/>
    <mergeCell ref="A41:A48"/>
    <mergeCell ref="A49:A56"/>
    <mergeCell ref="A60:A63"/>
    <mergeCell ref="A64:A71"/>
    <mergeCell ref="A9:A16"/>
    <mergeCell ref="A17:A24"/>
    <mergeCell ref="A25:A32"/>
    <mergeCell ref="A33:A40"/>
    <mergeCell ref="A1:E1"/>
    <mergeCell ref="A2:E2"/>
    <mergeCell ref="A3:E3"/>
    <mergeCell ref="A5:A8"/>
    <mergeCell ref="A4:E4"/>
  </mergeCells>
  <printOptions/>
  <pageMargins left="0.7480314960629921" right="0.7480314960629921" top="0.68" bottom="0" header="0.5118110236220472" footer="0"/>
  <pageSetup horizontalDpi="300" verticalDpi="300" orientation="portrait" paperSize="9" r:id="rId1"/>
  <ignoredErrors>
    <ignoredError sqref="A9:A32" numberStoredAsText="1"/>
  </ignoredErrors>
</worksheet>
</file>

<file path=xl/worksheets/sheet27.xml><?xml version="1.0" encoding="utf-8"?>
<worksheet xmlns="http://schemas.openxmlformats.org/spreadsheetml/2006/main" xmlns:r="http://schemas.openxmlformats.org/officeDocument/2006/relationships">
  <sheetPr>
    <tabColor indexed="39"/>
  </sheetPr>
  <dimension ref="A1:AE96"/>
  <sheetViews>
    <sheetView showGridLines="0" workbookViewId="0" topLeftCell="A79">
      <selection activeCell="C101" sqref="C101"/>
    </sheetView>
  </sheetViews>
  <sheetFormatPr defaultColWidth="9.125" defaultRowHeight="12.75"/>
  <cols>
    <col min="1" max="1" width="5.625" style="271" customWidth="1"/>
    <col min="2" max="2" width="17.75390625" style="271" customWidth="1"/>
    <col min="3" max="3" width="10.75390625" style="271" customWidth="1"/>
    <col min="4" max="4" width="13.125" style="271" customWidth="1"/>
    <col min="5" max="5" width="13.875" style="271" customWidth="1"/>
    <col min="6" max="6" width="13.125" style="271" customWidth="1"/>
    <col min="7" max="7" width="10.25390625" style="271" bestFit="1" customWidth="1"/>
    <col min="8" max="8" width="11.75390625" style="271" customWidth="1"/>
    <col min="9" max="9" width="7.00390625" style="271" hidden="1" customWidth="1"/>
    <col min="10" max="10" width="7.625" style="271" hidden="1" customWidth="1"/>
    <col min="11" max="11" width="5.625" style="271" hidden="1" customWidth="1"/>
    <col min="12" max="12" width="7.625" style="271" hidden="1" customWidth="1"/>
    <col min="13" max="13" width="7.00390625" style="271" hidden="1" customWidth="1"/>
    <col min="14" max="15" width="5.625" style="271" hidden="1" customWidth="1"/>
    <col min="16" max="16" width="7.875" style="271" hidden="1" customWidth="1"/>
    <col min="17" max="17" width="6.625" style="271" hidden="1" customWidth="1"/>
    <col min="18" max="18" width="9.125" style="271" hidden="1" customWidth="1"/>
    <col min="19" max="19" width="8.625" style="271" hidden="1" customWidth="1"/>
    <col min="20" max="31" width="0" style="271" hidden="1" customWidth="1"/>
    <col min="32" max="16384" width="9.125" style="271" customWidth="1"/>
  </cols>
  <sheetData>
    <row r="1" spans="1:9" ht="27.75" customHeight="1">
      <c r="A1" s="900" t="s">
        <v>0</v>
      </c>
      <c r="B1" s="900"/>
      <c r="C1" s="900"/>
      <c r="D1" s="900"/>
      <c r="E1" s="900"/>
      <c r="F1" s="900"/>
      <c r="G1" s="900"/>
      <c r="H1" s="900"/>
      <c r="I1" s="270"/>
    </row>
    <row r="2" spans="1:9" ht="14.25" customHeight="1">
      <c r="A2" s="901" t="s">
        <v>1</v>
      </c>
      <c r="B2" s="901"/>
      <c r="C2" s="901"/>
      <c r="D2" s="901"/>
      <c r="E2" s="901"/>
      <c r="F2" s="901"/>
      <c r="G2" s="901"/>
      <c r="H2" s="901"/>
      <c r="I2" s="272"/>
    </row>
    <row r="3" spans="1:9" ht="14.25" customHeight="1" thickBot="1">
      <c r="A3" s="898" t="s">
        <v>51</v>
      </c>
      <c r="B3" s="898"/>
      <c r="C3" s="898"/>
      <c r="D3" s="898"/>
      <c r="E3" s="899"/>
      <c r="F3" s="899"/>
      <c r="G3" s="902" t="s">
        <v>107</v>
      </c>
      <c r="H3" s="903"/>
      <c r="I3" s="273"/>
    </row>
    <row r="4" spans="1:8" ht="27" customHeight="1">
      <c r="A4" s="904" t="s">
        <v>496</v>
      </c>
      <c r="B4" s="907" t="s">
        <v>578</v>
      </c>
      <c r="C4" s="910" t="s">
        <v>672</v>
      </c>
      <c r="D4" s="911"/>
      <c r="E4" s="912"/>
      <c r="F4" s="910" t="s">
        <v>673</v>
      </c>
      <c r="G4" s="912"/>
      <c r="H4" s="894" t="s">
        <v>86</v>
      </c>
    </row>
    <row r="5" spans="1:8" ht="23.25" customHeight="1" thickBot="1">
      <c r="A5" s="905"/>
      <c r="B5" s="908"/>
      <c r="C5" s="891" t="s">
        <v>674</v>
      </c>
      <c r="D5" s="892"/>
      <c r="E5" s="893"/>
      <c r="F5" s="891" t="s">
        <v>675</v>
      </c>
      <c r="G5" s="893"/>
      <c r="H5" s="895"/>
    </row>
    <row r="6" spans="1:8" s="276" customFormat="1" ht="38.25" customHeight="1">
      <c r="A6" s="905"/>
      <c r="B6" s="909"/>
      <c r="C6" s="274" t="s">
        <v>17</v>
      </c>
      <c r="D6" s="275" t="s">
        <v>19</v>
      </c>
      <c r="E6" s="275" t="s">
        <v>18</v>
      </c>
      <c r="F6" s="275" t="s">
        <v>676</v>
      </c>
      <c r="G6" s="275" t="s">
        <v>769</v>
      </c>
      <c r="H6" s="895"/>
    </row>
    <row r="7" spans="1:8" s="280" customFormat="1" ht="33" customHeight="1" thickBot="1">
      <c r="A7" s="906"/>
      <c r="B7" s="277" t="s">
        <v>579</v>
      </c>
      <c r="C7" s="278" t="s">
        <v>677</v>
      </c>
      <c r="D7" s="279" t="s">
        <v>678</v>
      </c>
      <c r="E7" s="278" t="s">
        <v>771</v>
      </c>
      <c r="F7" s="278" t="s">
        <v>679</v>
      </c>
      <c r="G7" s="278" t="s">
        <v>770</v>
      </c>
      <c r="H7" s="278" t="s">
        <v>680</v>
      </c>
    </row>
    <row r="8" spans="1:20" ht="15.75" customHeight="1" thickBot="1">
      <c r="A8" s="281" t="s">
        <v>497</v>
      </c>
      <c r="B8" s="282" t="s">
        <v>681</v>
      </c>
      <c r="C8" s="283">
        <v>2242</v>
      </c>
      <c r="D8" s="283">
        <v>92130</v>
      </c>
      <c r="E8" s="283">
        <v>42296</v>
      </c>
      <c r="F8" s="283">
        <v>1120</v>
      </c>
      <c r="G8" s="283">
        <v>2100</v>
      </c>
      <c r="H8" s="284">
        <f>+C8+D8+E8+F8+G8</f>
        <v>139888</v>
      </c>
      <c r="I8" s="285">
        <v>1</v>
      </c>
      <c r="J8" s="271">
        <f>163+12553</f>
        <v>12716</v>
      </c>
      <c r="K8" s="271">
        <v>218</v>
      </c>
      <c r="L8" s="271">
        <f>65+10894</f>
        <v>10959</v>
      </c>
      <c r="M8" s="271">
        <f>64+4228</f>
        <v>4292</v>
      </c>
      <c r="N8" s="271">
        <v>240</v>
      </c>
      <c r="O8" s="271">
        <v>98</v>
      </c>
      <c r="P8" s="271">
        <v>588</v>
      </c>
      <c r="Q8" s="271">
        <v>5</v>
      </c>
      <c r="R8" s="271">
        <v>621</v>
      </c>
      <c r="S8" s="271">
        <v>386</v>
      </c>
      <c r="T8" s="271">
        <v>414</v>
      </c>
    </row>
    <row r="9" spans="1:20" ht="15.75" customHeight="1">
      <c r="A9" s="286" t="s">
        <v>498</v>
      </c>
      <c r="B9" s="287" t="s">
        <v>682</v>
      </c>
      <c r="C9" s="283">
        <v>167</v>
      </c>
      <c r="D9" s="283">
        <v>5819</v>
      </c>
      <c r="E9" s="283">
        <v>3505</v>
      </c>
      <c r="F9" s="283">
        <v>124</v>
      </c>
      <c r="G9" s="283">
        <v>335</v>
      </c>
      <c r="H9" s="284">
        <f aca="true" t="shared" si="0" ref="H9:H33">+C9+D9+E9+F9+G9</f>
        <v>9950</v>
      </c>
      <c r="I9" s="285">
        <f>+I8+1</f>
        <v>2</v>
      </c>
      <c r="J9" s="271">
        <v>702</v>
      </c>
      <c r="K9" s="271">
        <v>25</v>
      </c>
      <c r="L9" s="271">
        <v>757</v>
      </c>
      <c r="M9" s="271">
        <v>430</v>
      </c>
      <c r="N9" s="271">
        <v>8</v>
      </c>
      <c r="O9" s="271">
        <v>3</v>
      </c>
      <c r="P9" s="271">
        <v>86</v>
      </c>
      <c r="Q9" s="271">
        <v>1</v>
      </c>
      <c r="R9" s="271">
        <v>95</v>
      </c>
      <c r="S9" s="271">
        <v>91</v>
      </c>
      <c r="T9" s="271">
        <v>54</v>
      </c>
    </row>
    <row r="10" spans="1:20" ht="15.75" customHeight="1">
      <c r="A10" s="286" t="s">
        <v>683</v>
      </c>
      <c r="B10" s="289" t="s">
        <v>684</v>
      </c>
      <c r="C10" s="283">
        <v>469</v>
      </c>
      <c r="D10" s="283">
        <v>23143</v>
      </c>
      <c r="E10" s="283">
        <v>9427</v>
      </c>
      <c r="F10" s="283">
        <v>417</v>
      </c>
      <c r="G10" s="283">
        <v>734</v>
      </c>
      <c r="H10" s="288">
        <f t="shared" si="0"/>
        <v>34190</v>
      </c>
      <c r="I10" s="285">
        <f aca="true" t="shared" si="1" ref="I10:I33">+I9+1</f>
        <v>3</v>
      </c>
      <c r="J10" s="271">
        <v>3166</v>
      </c>
      <c r="K10" s="271">
        <v>17</v>
      </c>
      <c r="L10" s="271">
        <v>1387</v>
      </c>
      <c r="M10" s="271">
        <v>848</v>
      </c>
      <c r="N10" s="271">
        <v>48</v>
      </c>
      <c r="O10" s="271">
        <v>16</v>
      </c>
      <c r="P10" s="271">
        <v>261</v>
      </c>
      <c r="Q10" s="271">
        <v>0</v>
      </c>
      <c r="R10" s="271">
        <v>185</v>
      </c>
      <c r="S10" s="271">
        <v>162</v>
      </c>
      <c r="T10" s="271">
        <v>150</v>
      </c>
    </row>
    <row r="11" spans="1:20" ht="15.75" customHeight="1">
      <c r="A11" s="286" t="s">
        <v>499</v>
      </c>
      <c r="B11" s="287" t="s">
        <v>685</v>
      </c>
      <c r="C11" s="283">
        <v>48</v>
      </c>
      <c r="D11" s="283">
        <v>1160</v>
      </c>
      <c r="E11" s="283">
        <v>1236</v>
      </c>
      <c r="F11" s="283">
        <v>127</v>
      </c>
      <c r="G11" s="283">
        <v>416</v>
      </c>
      <c r="H11" s="288">
        <f t="shared" si="0"/>
        <v>2987</v>
      </c>
      <c r="I11" s="285">
        <f t="shared" si="1"/>
        <v>4</v>
      </c>
      <c r="J11" s="271">
        <v>199</v>
      </c>
      <c r="K11" s="271">
        <v>0</v>
      </c>
      <c r="L11" s="271">
        <v>278</v>
      </c>
      <c r="M11" s="271">
        <v>184</v>
      </c>
      <c r="N11" s="271">
        <v>3</v>
      </c>
      <c r="O11" s="271">
        <v>3</v>
      </c>
      <c r="P11" s="271">
        <v>54</v>
      </c>
      <c r="Q11" s="271">
        <v>0</v>
      </c>
      <c r="R11" s="271">
        <v>124</v>
      </c>
      <c r="S11" s="271">
        <v>78</v>
      </c>
      <c r="T11" s="271">
        <v>91</v>
      </c>
    </row>
    <row r="12" spans="1:20" ht="15.75" customHeight="1">
      <c r="A12" s="286" t="s">
        <v>686</v>
      </c>
      <c r="B12" s="287" t="s">
        <v>687</v>
      </c>
      <c r="C12" s="283">
        <v>268</v>
      </c>
      <c r="D12" s="283">
        <v>13559</v>
      </c>
      <c r="E12" s="283">
        <v>5610</v>
      </c>
      <c r="F12" s="283">
        <v>248</v>
      </c>
      <c r="G12" s="283">
        <v>468</v>
      </c>
      <c r="H12" s="288">
        <f t="shared" si="0"/>
        <v>20153</v>
      </c>
      <c r="I12" s="285">
        <f t="shared" si="1"/>
        <v>5</v>
      </c>
      <c r="J12" s="271">
        <v>2040</v>
      </c>
      <c r="K12" s="271">
        <v>9</v>
      </c>
      <c r="L12" s="271">
        <v>927</v>
      </c>
      <c r="M12" s="271">
        <v>580</v>
      </c>
      <c r="N12" s="271">
        <v>35</v>
      </c>
      <c r="O12" s="271">
        <v>15</v>
      </c>
      <c r="P12" s="271">
        <v>198</v>
      </c>
      <c r="Q12" s="271">
        <v>0</v>
      </c>
      <c r="R12" s="271">
        <v>149</v>
      </c>
      <c r="S12" s="271">
        <v>157</v>
      </c>
      <c r="T12" s="271">
        <v>97</v>
      </c>
    </row>
    <row r="13" spans="1:20" ht="15.75" customHeight="1">
      <c r="A13" s="286" t="s">
        <v>688</v>
      </c>
      <c r="B13" s="287" t="s">
        <v>689</v>
      </c>
      <c r="C13" s="283">
        <v>4374</v>
      </c>
      <c r="D13" s="283">
        <v>223214</v>
      </c>
      <c r="E13" s="283">
        <v>80202</v>
      </c>
      <c r="F13" s="283">
        <v>2450</v>
      </c>
      <c r="G13" s="283">
        <v>3750</v>
      </c>
      <c r="H13" s="288">
        <f t="shared" si="0"/>
        <v>313990</v>
      </c>
      <c r="I13" s="285">
        <f t="shared" si="1"/>
        <v>6</v>
      </c>
      <c r="J13" s="271">
        <v>30186</v>
      </c>
      <c r="K13" s="271">
        <v>316</v>
      </c>
      <c r="L13" s="271">
        <v>15049</v>
      </c>
      <c r="M13" s="271">
        <v>6520</v>
      </c>
      <c r="N13" s="271">
        <v>459</v>
      </c>
      <c r="O13" s="271">
        <v>163</v>
      </c>
      <c r="P13" s="271">
        <v>1431</v>
      </c>
      <c r="Q13" s="271">
        <v>1</v>
      </c>
      <c r="R13" s="271">
        <v>935</v>
      </c>
      <c r="S13" s="271">
        <v>620</v>
      </c>
      <c r="T13" s="271">
        <v>419</v>
      </c>
    </row>
    <row r="14" spans="1:20" ht="15.75" customHeight="1">
      <c r="A14" s="286" t="s">
        <v>690</v>
      </c>
      <c r="B14" s="287" t="s">
        <v>691</v>
      </c>
      <c r="C14" s="283">
        <v>1037</v>
      </c>
      <c r="D14" s="283">
        <v>60688</v>
      </c>
      <c r="E14" s="283">
        <v>19721</v>
      </c>
      <c r="F14" s="283">
        <v>858</v>
      </c>
      <c r="G14" s="283">
        <v>1278</v>
      </c>
      <c r="H14" s="288">
        <f t="shared" si="0"/>
        <v>83582</v>
      </c>
      <c r="I14" s="285">
        <f t="shared" si="1"/>
        <v>7</v>
      </c>
      <c r="J14" s="271">
        <v>5132</v>
      </c>
      <c r="K14" s="271">
        <v>67</v>
      </c>
      <c r="L14" s="271">
        <v>2847</v>
      </c>
      <c r="M14" s="271">
        <v>1260</v>
      </c>
      <c r="N14" s="271">
        <v>123</v>
      </c>
      <c r="O14" s="271">
        <v>55</v>
      </c>
      <c r="P14" s="271">
        <v>378</v>
      </c>
      <c r="Q14" s="271">
        <v>1</v>
      </c>
      <c r="R14" s="271">
        <v>252</v>
      </c>
      <c r="S14" s="271">
        <v>185</v>
      </c>
      <c r="T14" s="271">
        <v>158</v>
      </c>
    </row>
    <row r="15" spans="1:20" ht="15.75" customHeight="1">
      <c r="A15" s="286" t="s">
        <v>692</v>
      </c>
      <c r="B15" s="287" t="s">
        <v>693</v>
      </c>
      <c r="C15" s="283">
        <v>230</v>
      </c>
      <c r="D15" s="283">
        <v>11368</v>
      </c>
      <c r="E15" s="283">
        <v>5996</v>
      </c>
      <c r="F15" s="283">
        <v>106</v>
      </c>
      <c r="G15" s="283">
        <v>234</v>
      </c>
      <c r="H15" s="288">
        <f t="shared" si="0"/>
        <v>17934</v>
      </c>
      <c r="I15" s="285">
        <f t="shared" si="1"/>
        <v>8</v>
      </c>
      <c r="J15" s="271">
        <v>2535</v>
      </c>
      <c r="K15" s="271">
        <v>3</v>
      </c>
      <c r="L15" s="271">
        <v>1116</v>
      </c>
      <c r="M15" s="271">
        <v>448</v>
      </c>
      <c r="N15" s="271">
        <v>30</v>
      </c>
      <c r="O15" s="271">
        <v>11</v>
      </c>
      <c r="P15" s="271">
        <v>107</v>
      </c>
      <c r="R15" s="271">
        <v>63</v>
      </c>
      <c r="S15" s="271">
        <v>44</v>
      </c>
      <c r="T15" s="271">
        <v>55</v>
      </c>
    </row>
    <row r="16" spans="1:20" ht="15.75" customHeight="1">
      <c r="A16" s="286" t="s">
        <v>694</v>
      </c>
      <c r="B16" s="287" t="s">
        <v>695</v>
      </c>
      <c r="C16" s="283">
        <v>1123</v>
      </c>
      <c r="D16" s="283">
        <v>51603</v>
      </c>
      <c r="E16" s="283">
        <v>17984</v>
      </c>
      <c r="F16" s="283">
        <v>709</v>
      </c>
      <c r="G16" s="283">
        <v>764</v>
      </c>
      <c r="H16" s="288">
        <f t="shared" si="0"/>
        <v>72183</v>
      </c>
      <c r="I16" s="285">
        <f t="shared" si="1"/>
        <v>9</v>
      </c>
      <c r="J16" s="271">
        <v>6671</v>
      </c>
      <c r="K16" s="271">
        <v>104</v>
      </c>
      <c r="L16" s="271">
        <v>2603</v>
      </c>
      <c r="M16" s="271">
        <v>1140</v>
      </c>
      <c r="N16" s="271">
        <v>107</v>
      </c>
      <c r="O16" s="271">
        <v>26</v>
      </c>
      <c r="P16" s="271">
        <v>297</v>
      </c>
      <c r="Q16" s="271">
        <v>1</v>
      </c>
      <c r="R16" s="271">
        <v>182</v>
      </c>
      <c r="S16" s="271">
        <v>139</v>
      </c>
      <c r="T16" s="271">
        <v>90</v>
      </c>
    </row>
    <row r="17" spans="1:20" ht="15.75" customHeight="1">
      <c r="A17" s="290">
        <f aca="true" t="shared" si="2" ref="A17:A70">+A16+1</f>
        <v>10</v>
      </c>
      <c r="B17" s="287" t="s">
        <v>696</v>
      </c>
      <c r="C17" s="283">
        <v>1048</v>
      </c>
      <c r="D17" s="283">
        <v>69292</v>
      </c>
      <c r="E17" s="283">
        <v>23105</v>
      </c>
      <c r="F17" s="283">
        <v>800</v>
      </c>
      <c r="G17" s="283">
        <v>1049</v>
      </c>
      <c r="H17" s="288">
        <f t="shared" si="0"/>
        <v>95294</v>
      </c>
      <c r="I17" s="285">
        <f t="shared" si="1"/>
        <v>10</v>
      </c>
      <c r="J17" s="271">
        <v>8512</v>
      </c>
      <c r="K17" s="271">
        <v>120</v>
      </c>
      <c r="L17" s="271">
        <v>2846</v>
      </c>
      <c r="M17" s="271">
        <v>1233</v>
      </c>
      <c r="N17" s="271">
        <v>190</v>
      </c>
      <c r="O17" s="271">
        <v>78</v>
      </c>
      <c r="P17" s="271">
        <v>408</v>
      </c>
      <c r="R17" s="271">
        <v>223</v>
      </c>
      <c r="S17" s="271">
        <v>130</v>
      </c>
      <c r="T17" s="271">
        <v>203</v>
      </c>
    </row>
    <row r="18" spans="1:20" ht="15.75" customHeight="1">
      <c r="A18" s="290">
        <f t="shared" si="2"/>
        <v>11</v>
      </c>
      <c r="B18" s="287" t="s">
        <v>697</v>
      </c>
      <c r="C18" s="283">
        <v>249</v>
      </c>
      <c r="D18" s="283">
        <v>13215</v>
      </c>
      <c r="E18" s="283">
        <v>4163</v>
      </c>
      <c r="F18" s="283">
        <v>151</v>
      </c>
      <c r="G18" s="283">
        <v>204</v>
      </c>
      <c r="H18" s="288">
        <f t="shared" si="0"/>
        <v>17982</v>
      </c>
      <c r="I18" s="285">
        <f t="shared" si="1"/>
        <v>11</v>
      </c>
      <c r="J18" s="271">
        <v>1589</v>
      </c>
      <c r="K18" s="271">
        <v>35</v>
      </c>
      <c r="L18" s="271">
        <v>514</v>
      </c>
      <c r="M18" s="271">
        <v>301</v>
      </c>
      <c r="N18" s="271">
        <v>43</v>
      </c>
      <c r="O18" s="291">
        <v>19</v>
      </c>
      <c r="P18" s="271">
        <v>79</v>
      </c>
      <c r="R18" s="271">
        <v>44</v>
      </c>
      <c r="S18" s="271">
        <v>35</v>
      </c>
      <c r="T18" s="271">
        <v>43</v>
      </c>
    </row>
    <row r="19" spans="1:20" ht="15.75" customHeight="1">
      <c r="A19" s="290">
        <f t="shared" si="2"/>
        <v>12</v>
      </c>
      <c r="B19" s="287" t="s">
        <v>698</v>
      </c>
      <c r="C19" s="283">
        <v>58</v>
      </c>
      <c r="D19" s="283">
        <v>1289</v>
      </c>
      <c r="E19" s="283">
        <v>1746</v>
      </c>
      <c r="F19" s="283">
        <v>49</v>
      </c>
      <c r="G19" s="283">
        <v>176</v>
      </c>
      <c r="H19" s="288">
        <f t="shared" si="0"/>
        <v>3318</v>
      </c>
      <c r="I19" s="285">
        <f t="shared" si="1"/>
        <v>12</v>
      </c>
      <c r="J19" s="271">
        <v>253</v>
      </c>
      <c r="K19" s="271">
        <v>0</v>
      </c>
      <c r="L19" s="271">
        <v>339</v>
      </c>
      <c r="M19" s="271">
        <v>150</v>
      </c>
      <c r="N19" s="271">
        <v>6</v>
      </c>
      <c r="O19" s="271">
        <v>4</v>
      </c>
      <c r="P19" s="271">
        <v>43</v>
      </c>
      <c r="R19" s="271">
        <v>69</v>
      </c>
      <c r="S19" s="271">
        <v>49</v>
      </c>
      <c r="T19" s="271">
        <v>39</v>
      </c>
    </row>
    <row r="20" spans="1:20" ht="15.75" customHeight="1">
      <c r="A20" s="290">
        <f t="shared" si="2"/>
        <v>13</v>
      </c>
      <c r="B20" s="287" t="s">
        <v>699</v>
      </c>
      <c r="C20" s="283">
        <v>30</v>
      </c>
      <c r="D20" s="283">
        <v>1805</v>
      </c>
      <c r="E20" s="283">
        <v>1563</v>
      </c>
      <c r="F20" s="283">
        <v>48</v>
      </c>
      <c r="G20" s="283">
        <v>254</v>
      </c>
      <c r="H20" s="288">
        <f t="shared" si="0"/>
        <v>3700</v>
      </c>
      <c r="I20" s="285">
        <f t="shared" si="1"/>
        <v>13</v>
      </c>
      <c r="J20" s="271">
        <v>359</v>
      </c>
      <c r="K20" s="271">
        <v>3</v>
      </c>
      <c r="L20" s="271">
        <v>487</v>
      </c>
      <c r="M20" s="271">
        <v>300</v>
      </c>
      <c r="N20" s="271">
        <v>4</v>
      </c>
      <c r="O20" s="271">
        <v>4</v>
      </c>
      <c r="P20" s="271">
        <v>55</v>
      </c>
      <c r="R20" s="271">
        <v>85</v>
      </c>
      <c r="S20" s="271">
        <v>67</v>
      </c>
      <c r="T20" s="271">
        <v>31</v>
      </c>
    </row>
    <row r="21" spans="1:20" ht="15.75" customHeight="1">
      <c r="A21" s="290">
        <f t="shared" si="2"/>
        <v>14</v>
      </c>
      <c r="B21" s="287" t="s">
        <v>700</v>
      </c>
      <c r="C21" s="283">
        <v>337</v>
      </c>
      <c r="D21" s="283">
        <v>14817</v>
      </c>
      <c r="E21" s="283">
        <v>4968</v>
      </c>
      <c r="F21" s="283">
        <v>306</v>
      </c>
      <c r="G21" s="283">
        <v>303</v>
      </c>
      <c r="H21" s="288">
        <f t="shared" si="0"/>
        <v>20731</v>
      </c>
      <c r="I21" s="285">
        <f t="shared" si="1"/>
        <v>14</v>
      </c>
      <c r="J21" s="271">
        <v>3678</v>
      </c>
      <c r="K21" s="271">
        <v>46</v>
      </c>
      <c r="L21" s="271">
        <v>1683</v>
      </c>
      <c r="M21" s="271">
        <v>840</v>
      </c>
      <c r="N21" s="271">
        <v>113</v>
      </c>
      <c r="O21" s="271">
        <v>40</v>
      </c>
      <c r="P21" s="271">
        <v>258</v>
      </c>
      <c r="Q21" s="271">
        <v>2</v>
      </c>
      <c r="R21" s="271">
        <v>180</v>
      </c>
      <c r="S21" s="271">
        <v>133</v>
      </c>
      <c r="T21" s="271">
        <v>123</v>
      </c>
    </row>
    <row r="22" spans="1:20" ht="15.75" customHeight="1">
      <c r="A22" s="290">
        <f t="shared" si="2"/>
        <v>15</v>
      </c>
      <c r="B22" s="287" t="s">
        <v>701</v>
      </c>
      <c r="C22" s="283">
        <v>220</v>
      </c>
      <c r="D22" s="283">
        <v>11153</v>
      </c>
      <c r="E22" s="283">
        <v>3572</v>
      </c>
      <c r="F22" s="283">
        <v>118</v>
      </c>
      <c r="G22" s="283">
        <v>228</v>
      </c>
      <c r="H22" s="288">
        <f t="shared" si="0"/>
        <v>15291</v>
      </c>
      <c r="I22" s="285">
        <f t="shared" si="1"/>
        <v>15</v>
      </c>
      <c r="J22" s="271">
        <v>1146</v>
      </c>
      <c r="K22" s="271">
        <v>6</v>
      </c>
      <c r="L22" s="271">
        <v>342</v>
      </c>
      <c r="M22" s="271">
        <v>215</v>
      </c>
      <c r="N22" s="271">
        <v>25</v>
      </c>
      <c r="O22" s="271">
        <v>8</v>
      </c>
      <c r="P22" s="271">
        <v>91</v>
      </c>
      <c r="R22" s="271">
        <v>55</v>
      </c>
      <c r="S22" s="271">
        <v>29</v>
      </c>
      <c r="T22" s="271">
        <v>46</v>
      </c>
    </row>
    <row r="23" spans="1:20" ht="15.75" customHeight="1">
      <c r="A23" s="290">
        <f t="shared" si="2"/>
        <v>16</v>
      </c>
      <c r="B23" s="287" t="s">
        <v>702</v>
      </c>
      <c r="C23" s="283">
        <v>3275</v>
      </c>
      <c r="D23" s="283">
        <v>161905</v>
      </c>
      <c r="E23" s="283">
        <v>48950</v>
      </c>
      <c r="F23" s="283">
        <v>2146</v>
      </c>
      <c r="G23" s="283">
        <v>2296</v>
      </c>
      <c r="H23" s="288">
        <f t="shared" si="0"/>
        <v>218572</v>
      </c>
      <c r="I23" s="285">
        <f t="shared" si="1"/>
        <v>16</v>
      </c>
      <c r="J23" s="271">
        <v>17022</v>
      </c>
      <c r="K23" s="271">
        <v>652</v>
      </c>
      <c r="L23" s="271">
        <v>6752</v>
      </c>
      <c r="M23" s="271">
        <v>3054</v>
      </c>
      <c r="N23" s="271">
        <v>340</v>
      </c>
      <c r="O23" s="271">
        <v>115</v>
      </c>
      <c r="P23" s="271">
        <v>805</v>
      </c>
      <c r="Q23" s="271">
        <v>5</v>
      </c>
      <c r="R23" s="271">
        <v>484</v>
      </c>
      <c r="S23" s="271">
        <v>330</v>
      </c>
      <c r="T23" s="271">
        <v>300</v>
      </c>
    </row>
    <row r="24" spans="1:20" ht="15.75" customHeight="1">
      <c r="A24" s="290">
        <f t="shared" si="2"/>
        <v>17</v>
      </c>
      <c r="B24" s="287" t="s">
        <v>703</v>
      </c>
      <c r="C24" s="283">
        <v>375</v>
      </c>
      <c r="D24" s="283">
        <v>25895</v>
      </c>
      <c r="E24" s="283">
        <v>7224</v>
      </c>
      <c r="F24" s="283">
        <v>253</v>
      </c>
      <c r="G24" s="283">
        <v>325</v>
      </c>
      <c r="H24" s="288">
        <f t="shared" si="0"/>
        <v>34072</v>
      </c>
      <c r="I24" s="285">
        <f t="shared" si="1"/>
        <v>17</v>
      </c>
      <c r="J24" s="271">
        <v>2487</v>
      </c>
      <c r="K24" s="271">
        <v>42</v>
      </c>
      <c r="L24" s="271">
        <v>717</v>
      </c>
      <c r="M24" s="271">
        <v>388</v>
      </c>
      <c r="N24" s="271">
        <v>58</v>
      </c>
      <c r="O24" s="271">
        <v>20</v>
      </c>
      <c r="P24" s="271">
        <v>143</v>
      </c>
      <c r="R24" s="271">
        <v>56</v>
      </c>
      <c r="S24" s="271">
        <v>28</v>
      </c>
      <c r="T24" s="271">
        <v>61</v>
      </c>
    </row>
    <row r="25" spans="1:20" ht="15.75" customHeight="1">
      <c r="A25" s="290">
        <f t="shared" si="2"/>
        <v>18</v>
      </c>
      <c r="B25" s="292" t="s">
        <v>704</v>
      </c>
      <c r="C25" s="283">
        <v>166</v>
      </c>
      <c r="D25" s="283">
        <v>6396</v>
      </c>
      <c r="E25" s="283">
        <v>2682</v>
      </c>
      <c r="F25" s="283">
        <v>87</v>
      </c>
      <c r="G25" s="283">
        <v>156</v>
      </c>
      <c r="H25" s="288">
        <f t="shared" si="0"/>
        <v>9487</v>
      </c>
      <c r="I25" s="285">
        <f t="shared" si="1"/>
        <v>18</v>
      </c>
      <c r="J25" s="271">
        <v>1044</v>
      </c>
      <c r="K25" s="271">
        <v>7</v>
      </c>
      <c r="L25" s="271">
        <v>421</v>
      </c>
      <c r="M25" s="271">
        <v>217</v>
      </c>
      <c r="N25" s="271">
        <v>29</v>
      </c>
      <c r="O25" s="271">
        <v>23</v>
      </c>
      <c r="P25" s="271">
        <v>63</v>
      </c>
      <c r="R25" s="271">
        <v>53</v>
      </c>
      <c r="S25" s="271">
        <v>34</v>
      </c>
      <c r="T25" s="271">
        <v>50</v>
      </c>
    </row>
    <row r="26" spans="1:20" ht="15.75" customHeight="1">
      <c r="A26" s="290">
        <f t="shared" si="2"/>
        <v>19</v>
      </c>
      <c r="B26" s="292" t="s">
        <v>705</v>
      </c>
      <c r="C26" s="283">
        <v>777</v>
      </c>
      <c r="D26" s="283">
        <v>24163</v>
      </c>
      <c r="E26" s="283">
        <v>9683</v>
      </c>
      <c r="F26" s="283">
        <v>453</v>
      </c>
      <c r="G26" s="283">
        <v>893</v>
      </c>
      <c r="H26" s="288">
        <f t="shared" si="0"/>
        <v>35969</v>
      </c>
      <c r="I26" s="285">
        <f t="shared" si="1"/>
        <v>19</v>
      </c>
      <c r="J26" s="271">
        <v>3198</v>
      </c>
      <c r="K26" s="271">
        <v>14</v>
      </c>
      <c r="L26" s="271">
        <v>1519</v>
      </c>
      <c r="M26" s="271">
        <v>946</v>
      </c>
      <c r="N26" s="271">
        <v>41</v>
      </c>
      <c r="O26" s="271">
        <v>17</v>
      </c>
      <c r="P26" s="271">
        <v>330</v>
      </c>
      <c r="R26" s="271">
        <v>232</v>
      </c>
      <c r="S26" s="271">
        <v>196</v>
      </c>
      <c r="T26" s="271">
        <v>218</v>
      </c>
    </row>
    <row r="27" spans="1:20" ht="15.75" customHeight="1">
      <c r="A27" s="290">
        <f t="shared" si="2"/>
        <v>20</v>
      </c>
      <c r="B27" s="292" t="s">
        <v>706</v>
      </c>
      <c r="C27" s="283">
        <v>975</v>
      </c>
      <c r="D27" s="283">
        <v>47207</v>
      </c>
      <c r="E27" s="283">
        <v>12571</v>
      </c>
      <c r="F27" s="283">
        <v>612</v>
      </c>
      <c r="G27" s="283">
        <v>712</v>
      </c>
      <c r="H27" s="288">
        <f t="shared" si="0"/>
        <v>62077</v>
      </c>
      <c r="I27" s="285">
        <f t="shared" si="1"/>
        <v>20</v>
      </c>
      <c r="J27" s="271">
        <v>4035</v>
      </c>
      <c r="K27" s="271">
        <v>59</v>
      </c>
      <c r="L27" s="271">
        <v>1495</v>
      </c>
      <c r="M27" s="271">
        <v>895</v>
      </c>
      <c r="N27" s="271">
        <v>74</v>
      </c>
      <c r="O27" s="271">
        <v>24</v>
      </c>
      <c r="P27" s="271">
        <v>278</v>
      </c>
      <c r="Q27" s="271">
        <v>1</v>
      </c>
      <c r="R27" s="271">
        <v>148</v>
      </c>
      <c r="S27" s="271">
        <v>132</v>
      </c>
      <c r="T27" s="271">
        <v>91</v>
      </c>
    </row>
    <row r="28" spans="1:20" ht="15.75" customHeight="1">
      <c r="A28" s="290">
        <f t="shared" si="2"/>
        <v>21</v>
      </c>
      <c r="B28" s="292" t="s">
        <v>707</v>
      </c>
      <c r="C28" s="283">
        <v>399</v>
      </c>
      <c r="D28" s="283">
        <v>15767</v>
      </c>
      <c r="E28" s="283">
        <v>16243</v>
      </c>
      <c r="F28" s="283">
        <v>514</v>
      </c>
      <c r="G28" s="283">
        <v>1382</v>
      </c>
      <c r="H28" s="288">
        <f t="shared" si="0"/>
        <v>34305</v>
      </c>
      <c r="I28" s="285">
        <f t="shared" si="1"/>
        <v>21</v>
      </c>
      <c r="J28" s="271">
        <v>3313</v>
      </c>
      <c r="K28" s="271">
        <v>17</v>
      </c>
      <c r="L28" s="271">
        <v>4604</v>
      </c>
      <c r="M28" s="271">
        <v>2055</v>
      </c>
      <c r="N28" s="271">
        <v>46</v>
      </c>
      <c r="O28" s="271">
        <v>20</v>
      </c>
      <c r="P28" s="271">
        <v>286</v>
      </c>
      <c r="R28" s="271">
        <v>472</v>
      </c>
      <c r="S28" s="271">
        <v>337</v>
      </c>
      <c r="T28" s="271">
        <v>152</v>
      </c>
    </row>
    <row r="29" spans="1:20" ht="15.75" customHeight="1">
      <c r="A29" s="290">
        <f t="shared" si="2"/>
        <v>22</v>
      </c>
      <c r="B29" s="292" t="s">
        <v>708</v>
      </c>
      <c r="C29" s="283">
        <v>244</v>
      </c>
      <c r="D29" s="283">
        <v>17312</v>
      </c>
      <c r="E29" s="283">
        <v>5686</v>
      </c>
      <c r="F29" s="283">
        <v>192</v>
      </c>
      <c r="G29" s="283">
        <v>288</v>
      </c>
      <c r="H29" s="288">
        <f t="shared" si="0"/>
        <v>23722</v>
      </c>
      <c r="I29" s="285">
        <f t="shared" si="1"/>
        <v>22</v>
      </c>
      <c r="J29" s="271">
        <v>1954</v>
      </c>
      <c r="K29" s="271">
        <v>27</v>
      </c>
      <c r="L29" s="271">
        <v>728</v>
      </c>
      <c r="M29" s="271">
        <v>365</v>
      </c>
      <c r="N29" s="271">
        <v>82</v>
      </c>
      <c r="O29" s="271">
        <v>31</v>
      </c>
      <c r="P29" s="271">
        <v>117</v>
      </c>
      <c r="R29" s="271">
        <v>72</v>
      </c>
      <c r="S29" s="271">
        <v>55</v>
      </c>
      <c r="T29" s="271">
        <v>62</v>
      </c>
    </row>
    <row r="30" spans="1:20" ht="15.75" customHeight="1">
      <c r="A30" s="290">
        <f t="shared" si="2"/>
        <v>23</v>
      </c>
      <c r="B30" s="292" t="s">
        <v>709</v>
      </c>
      <c r="C30" s="283">
        <v>639</v>
      </c>
      <c r="D30" s="283">
        <v>21348</v>
      </c>
      <c r="E30" s="283">
        <v>13811</v>
      </c>
      <c r="F30" s="283">
        <v>352</v>
      </c>
      <c r="G30" s="283">
        <v>792</v>
      </c>
      <c r="H30" s="288">
        <f t="shared" si="0"/>
        <v>36942</v>
      </c>
      <c r="I30" s="285">
        <f t="shared" si="1"/>
        <v>23</v>
      </c>
      <c r="J30" s="271">
        <v>4417</v>
      </c>
      <c r="K30" s="271">
        <v>12</v>
      </c>
      <c r="L30" s="271">
        <v>3244</v>
      </c>
      <c r="M30" s="271">
        <v>1299</v>
      </c>
      <c r="N30" s="271">
        <v>46</v>
      </c>
      <c r="O30" s="271">
        <v>17</v>
      </c>
      <c r="P30" s="271">
        <v>270</v>
      </c>
      <c r="R30" s="271">
        <v>256</v>
      </c>
      <c r="S30" s="271">
        <v>147</v>
      </c>
      <c r="T30" s="271">
        <v>124</v>
      </c>
    </row>
    <row r="31" spans="1:20" ht="15.75" customHeight="1">
      <c r="A31" s="290">
        <f t="shared" si="2"/>
        <v>24</v>
      </c>
      <c r="B31" s="292" t="s">
        <v>710</v>
      </c>
      <c r="C31" s="283">
        <v>232</v>
      </c>
      <c r="D31" s="283">
        <v>7627</v>
      </c>
      <c r="E31" s="283">
        <v>3985</v>
      </c>
      <c r="F31" s="283">
        <v>115</v>
      </c>
      <c r="G31" s="283">
        <v>202</v>
      </c>
      <c r="H31" s="288">
        <f t="shared" si="0"/>
        <v>12161</v>
      </c>
      <c r="I31" s="285">
        <f t="shared" si="1"/>
        <v>24</v>
      </c>
      <c r="J31" s="271">
        <v>1406</v>
      </c>
      <c r="K31" s="271">
        <v>12</v>
      </c>
      <c r="L31" s="271">
        <v>695</v>
      </c>
      <c r="M31" s="271">
        <v>364</v>
      </c>
      <c r="N31" s="271">
        <v>29</v>
      </c>
      <c r="O31" s="271">
        <v>14</v>
      </c>
      <c r="P31" s="271">
        <v>74</v>
      </c>
      <c r="R31" s="271">
        <v>44</v>
      </c>
      <c r="S31" s="271">
        <v>31</v>
      </c>
      <c r="T31" s="271">
        <v>53</v>
      </c>
    </row>
    <row r="32" spans="1:20" ht="15.75" customHeight="1">
      <c r="A32" s="290">
        <f t="shared" si="2"/>
        <v>25</v>
      </c>
      <c r="B32" s="292" t="s">
        <v>711</v>
      </c>
      <c r="C32" s="283">
        <v>530</v>
      </c>
      <c r="D32" s="283">
        <v>16899</v>
      </c>
      <c r="E32" s="283">
        <v>11055</v>
      </c>
      <c r="F32" s="283">
        <v>370</v>
      </c>
      <c r="G32" s="283">
        <v>1034</v>
      </c>
      <c r="H32" s="288">
        <f t="shared" si="0"/>
        <v>29888</v>
      </c>
      <c r="I32" s="285">
        <f t="shared" si="1"/>
        <v>25</v>
      </c>
      <c r="J32" s="271">
        <v>3455</v>
      </c>
      <c r="K32" s="271">
        <v>7</v>
      </c>
      <c r="L32" s="271">
        <v>2691</v>
      </c>
      <c r="M32" s="271">
        <v>1428</v>
      </c>
      <c r="N32" s="271">
        <v>76</v>
      </c>
      <c r="O32" s="271">
        <v>37</v>
      </c>
      <c r="P32" s="271">
        <v>297</v>
      </c>
      <c r="R32" s="271">
        <v>299</v>
      </c>
      <c r="S32" s="271">
        <v>215</v>
      </c>
      <c r="T32" s="271">
        <v>330</v>
      </c>
    </row>
    <row r="33" spans="1:20" ht="15.75" customHeight="1">
      <c r="A33" s="290">
        <f t="shared" si="2"/>
        <v>26</v>
      </c>
      <c r="B33" s="292" t="s">
        <v>712</v>
      </c>
      <c r="C33" s="283">
        <v>1011</v>
      </c>
      <c r="D33" s="283">
        <v>54933</v>
      </c>
      <c r="E33" s="283">
        <v>20404</v>
      </c>
      <c r="F33" s="283">
        <v>564</v>
      </c>
      <c r="G33" s="283">
        <v>717</v>
      </c>
      <c r="H33" s="288">
        <f t="shared" si="0"/>
        <v>77629</v>
      </c>
      <c r="I33" s="285">
        <f t="shared" si="1"/>
        <v>26</v>
      </c>
      <c r="J33" s="271">
        <v>9359</v>
      </c>
      <c r="K33" s="271">
        <v>68</v>
      </c>
      <c r="L33" s="271">
        <v>3339</v>
      </c>
      <c r="M33" s="271">
        <v>1536</v>
      </c>
      <c r="N33" s="271">
        <v>166</v>
      </c>
      <c r="O33" s="271">
        <v>61</v>
      </c>
      <c r="P33" s="271">
        <v>304</v>
      </c>
      <c r="R33" s="271">
        <v>176</v>
      </c>
      <c r="S33" s="271">
        <v>127</v>
      </c>
      <c r="T33" s="271">
        <v>169</v>
      </c>
    </row>
    <row r="34" spans="1:20" ht="15.75" customHeight="1">
      <c r="A34" s="281">
        <f aca="true" t="shared" si="3" ref="A34:A48">+A33+1</f>
        <v>27</v>
      </c>
      <c r="B34" s="282" t="s">
        <v>713</v>
      </c>
      <c r="C34" s="283">
        <v>941</v>
      </c>
      <c r="D34" s="283">
        <v>29823</v>
      </c>
      <c r="E34" s="283">
        <v>18262</v>
      </c>
      <c r="F34" s="283">
        <v>769</v>
      </c>
      <c r="G34" s="283">
        <v>1294</v>
      </c>
      <c r="H34" s="288">
        <f aca="true" t="shared" si="4" ref="H34:H48">+C34+D34+E34+F34+G34</f>
        <v>51089</v>
      </c>
      <c r="I34" s="285">
        <f aca="true" t="shared" si="5" ref="I34:I46">+I33+1</f>
        <v>27</v>
      </c>
      <c r="J34" s="271">
        <v>4751</v>
      </c>
      <c r="K34" s="271">
        <v>34</v>
      </c>
      <c r="L34" s="271">
        <v>3763</v>
      </c>
      <c r="M34" s="271">
        <v>1950</v>
      </c>
      <c r="N34" s="271">
        <v>67</v>
      </c>
      <c r="O34" s="271">
        <v>21</v>
      </c>
      <c r="P34" s="271">
        <v>325</v>
      </c>
      <c r="Q34" s="271">
        <v>1</v>
      </c>
      <c r="R34" s="271">
        <v>311</v>
      </c>
      <c r="S34" s="271">
        <v>240</v>
      </c>
      <c r="T34" s="271">
        <v>144</v>
      </c>
    </row>
    <row r="35" spans="1:20" ht="15.75" customHeight="1">
      <c r="A35" s="286">
        <f t="shared" si="3"/>
        <v>28</v>
      </c>
      <c r="B35" s="287" t="s">
        <v>714</v>
      </c>
      <c r="C35" s="283">
        <v>598</v>
      </c>
      <c r="D35" s="283">
        <v>22578</v>
      </c>
      <c r="E35" s="283">
        <v>9923</v>
      </c>
      <c r="F35" s="283">
        <v>291</v>
      </c>
      <c r="G35" s="283">
        <v>617</v>
      </c>
      <c r="H35" s="288">
        <f t="shared" si="4"/>
        <v>34007</v>
      </c>
      <c r="I35" s="285">
        <f t="shared" si="5"/>
        <v>28</v>
      </c>
      <c r="J35" s="271">
        <v>3466</v>
      </c>
      <c r="K35" s="271">
        <v>57</v>
      </c>
      <c r="L35" s="271">
        <v>1495</v>
      </c>
      <c r="M35" s="271">
        <v>837</v>
      </c>
      <c r="N35" s="271">
        <v>96</v>
      </c>
      <c r="O35" s="271">
        <v>38</v>
      </c>
      <c r="P35" s="271">
        <v>289</v>
      </c>
      <c r="R35" s="271">
        <v>176</v>
      </c>
      <c r="S35" s="271">
        <v>112</v>
      </c>
      <c r="T35" s="271">
        <v>144</v>
      </c>
    </row>
    <row r="36" spans="1:20" ht="15.75" customHeight="1">
      <c r="A36" s="286">
        <f t="shared" si="3"/>
        <v>29</v>
      </c>
      <c r="B36" s="289" t="s">
        <v>715</v>
      </c>
      <c r="C36" s="283">
        <v>155</v>
      </c>
      <c r="D36" s="283">
        <v>3789</v>
      </c>
      <c r="E36" s="283">
        <v>2361</v>
      </c>
      <c r="F36" s="283">
        <v>69</v>
      </c>
      <c r="G36" s="283">
        <v>198</v>
      </c>
      <c r="H36" s="288">
        <f t="shared" si="4"/>
        <v>6572</v>
      </c>
      <c r="I36" s="285">
        <f t="shared" si="5"/>
        <v>29</v>
      </c>
      <c r="J36" s="271">
        <v>789</v>
      </c>
      <c r="K36" s="271">
        <v>3</v>
      </c>
      <c r="L36" s="271">
        <v>444</v>
      </c>
      <c r="M36" s="271">
        <v>223</v>
      </c>
      <c r="N36" s="271">
        <v>12</v>
      </c>
      <c r="O36" s="271">
        <v>4</v>
      </c>
      <c r="P36" s="271">
        <v>75</v>
      </c>
      <c r="R36" s="271">
        <v>62</v>
      </c>
      <c r="S36" s="271">
        <v>40</v>
      </c>
      <c r="T36" s="271">
        <v>50</v>
      </c>
    </row>
    <row r="37" spans="1:20" ht="15.75" customHeight="1">
      <c r="A37" s="286">
        <f t="shared" si="3"/>
        <v>30</v>
      </c>
      <c r="B37" s="287" t="s">
        <v>716</v>
      </c>
      <c r="C37" s="283">
        <v>10</v>
      </c>
      <c r="D37" s="283">
        <v>525</v>
      </c>
      <c r="E37" s="283">
        <v>862</v>
      </c>
      <c r="F37" s="283">
        <v>14</v>
      </c>
      <c r="G37" s="283">
        <v>117</v>
      </c>
      <c r="H37" s="288">
        <f t="shared" si="4"/>
        <v>1528</v>
      </c>
      <c r="I37" s="285">
        <f t="shared" si="5"/>
        <v>30</v>
      </c>
      <c r="J37" s="271">
        <v>136</v>
      </c>
      <c r="K37" s="271">
        <v>0</v>
      </c>
      <c r="L37" s="271">
        <v>240</v>
      </c>
      <c r="M37" s="271">
        <v>136</v>
      </c>
      <c r="N37" s="271">
        <v>2</v>
      </c>
      <c r="O37" s="271">
        <v>2</v>
      </c>
      <c r="P37" s="271">
        <v>31</v>
      </c>
      <c r="R37" s="271">
        <v>55</v>
      </c>
      <c r="S37" s="271">
        <v>46</v>
      </c>
      <c r="T37" s="271">
        <v>10</v>
      </c>
    </row>
    <row r="38" spans="1:20" ht="15.75" customHeight="1">
      <c r="A38" s="286">
        <f t="shared" si="3"/>
        <v>31</v>
      </c>
      <c r="B38" s="287" t="s">
        <v>717</v>
      </c>
      <c r="C38" s="283">
        <v>788</v>
      </c>
      <c r="D38" s="283">
        <v>36833</v>
      </c>
      <c r="E38" s="283">
        <v>17143</v>
      </c>
      <c r="F38" s="283">
        <v>808</v>
      </c>
      <c r="G38" s="283">
        <v>1297</v>
      </c>
      <c r="H38" s="288">
        <f t="shared" si="4"/>
        <v>56869</v>
      </c>
      <c r="I38" s="285">
        <f t="shared" si="5"/>
        <v>31</v>
      </c>
      <c r="J38" s="271">
        <v>4496</v>
      </c>
      <c r="K38" s="271">
        <v>53</v>
      </c>
      <c r="L38" s="271">
        <v>4040</v>
      </c>
      <c r="M38" s="271">
        <v>1709</v>
      </c>
      <c r="N38" s="271">
        <v>92</v>
      </c>
      <c r="O38" s="271">
        <v>40</v>
      </c>
      <c r="P38" s="271">
        <v>333</v>
      </c>
      <c r="R38" s="271">
        <v>386</v>
      </c>
      <c r="S38" s="271">
        <v>241</v>
      </c>
      <c r="T38" s="271">
        <v>241</v>
      </c>
    </row>
    <row r="39" spans="1:20" ht="15.75" customHeight="1">
      <c r="A39" s="286">
        <f t="shared" si="3"/>
        <v>32</v>
      </c>
      <c r="B39" s="287" t="s">
        <v>718</v>
      </c>
      <c r="C39" s="283">
        <v>416</v>
      </c>
      <c r="D39" s="283">
        <v>19001</v>
      </c>
      <c r="E39" s="283">
        <v>5934</v>
      </c>
      <c r="F39" s="283">
        <v>201</v>
      </c>
      <c r="G39" s="283">
        <v>318</v>
      </c>
      <c r="H39" s="288">
        <f t="shared" si="4"/>
        <v>25870</v>
      </c>
      <c r="I39" s="285">
        <f t="shared" si="5"/>
        <v>32</v>
      </c>
      <c r="J39" s="271">
        <v>2145</v>
      </c>
      <c r="K39" s="271">
        <v>10</v>
      </c>
      <c r="L39" s="271">
        <v>742</v>
      </c>
      <c r="M39" s="271">
        <v>437</v>
      </c>
      <c r="N39" s="271">
        <v>54</v>
      </c>
      <c r="O39" s="271">
        <v>24</v>
      </c>
      <c r="P39" s="271">
        <v>121</v>
      </c>
      <c r="R39" s="271">
        <v>59</v>
      </c>
      <c r="S39" s="271">
        <v>63</v>
      </c>
      <c r="T39" s="271">
        <v>47</v>
      </c>
    </row>
    <row r="40" spans="1:20" ht="15.75" customHeight="1">
      <c r="A40" s="286">
        <f t="shared" si="3"/>
        <v>33</v>
      </c>
      <c r="B40" s="287" t="s">
        <v>719</v>
      </c>
      <c r="C40" s="283">
        <v>1238</v>
      </c>
      <c r="D40" s="283">
        <v>59527</v>
      </c>
      <c r="E40" s="283">
        <v>26555</v>
      </c>
      <c r="F40" s="283">
        <v>825</v>
      </c>
      <c r="G40" s="283">
        <v>1576</v>
      </c>
      <c r="H40" s="288">
        <f t="shared" si="4"/>
        <v>89721</v>
      </c>
      <c r="I40" s="285">
        <f t="shared" si="5"/>
        <v>33</v>
      </c>
      <c r="J40" s="271">
        <v>7754</v>
      </c>
      <c r="K40" s="271">
        <v>160</v>
      </c>
      <c r="L40" s="271">
        <v>5893</v>
      </c>
      <c r="M40" s="271">
        <v>2428</v>
      </c>
      <c r="N40" s="271">
        <v>183</v>
      </c>
      <c r="O40" s="271">
        <v>67</v>
      </c>
      <c r="P40" s="271">
        <v>461</v>
      </c>
      <c r="Q40" s="271">
        <v>2</v>
      </c>
      <c r="R40" s="271">
        <v>427</v>
      </c>
      <c r="S40" s="271">
        <v>292</v>
      </c>
      <c r="T40" s="271">
        <v>309</v>
      </c>
    </row>
    <row r="41" spans="1:20" ht="15.75" customHeight="1">
      <c r="A41" s="286">
        <f t="shared" si="3"/>
        <v>34</v>
      </c>
      <c r="B41" s="287" t="s">
        <v>720</v>
      </c>
      <c r="C41" s="283">
        <v>14547</v>
      </c>
      <c r="D41" s="283">
        <v>804641</v>
      </c>
      <c r="E41" s="283">
        <v>248691</v>
      </c>
      <c r="F41" s="283">
        <v>8784</v>
      </c>
      <c r="G41" s="283">
        <v>8085</v>
      </c>
      <c r="H41" s="288">
        <f t="shared" si="4"/>
        <v>1084748</v>
      </c>
      <c r="I41" s="285">
        <f t="shared" si="5"/>
        <v>34</v>
      </c>
      <c r="J41" s="271">
        <f>93615+8</f>
        <v>93623</v>
      </c>
      <c r="K41" s="271">
        <v>2493</v>
      </c>
      <c r="L41" s="271">
        <v>43275</v>
      </c>
      <c r="M41" s="271">
        <v>16153</v>
      </c>
      <c r="N41" s="271">
        <v>1660</v>
      </c>
      <c r="O41" s="271">
        <v>521</v>
      </c>
      <c r="P41" s="271">
        <v>3003</v>
      </c>
      <c r="Q41" s="271">
        <v>15</v>
      </c>
      <c r="R41" s="271">
        <v>1893</v>
      </c>
      <c r="S41" s="271">
        <v>1228</v>
      </c>
      <c r="T41" s="271">
        <v>871</v>
      </c>
    </row>
    <row r="42" spans="1:20" ht="15.75" customHeight="1">
      <c r="A42" s="286">
        <f t="shared" si="3"/>
        <v>35</v>
      </c>
      <c r="B42" s="287" t="s">
        <v>721</v>
      </c>
      <c r="C42" s="283">
        <v>4863</v>
      </c>
      <c r="D42" s="283">
        <v>286711</v>
      </c>
      <c r="E42" s="283">
        <v>87500</v>
      </c>
      <c r="F42" s="283">
        <v>3743</v>
      </c>
      <c r="G42" s="283">
        <v>3017</v>
      </c>
      <c r="H42" s="288">
        <f t="shared" si="4"/>
        <v>385834</v>
      </c>
      <c r="I42" s="285">
        <f t="shared" si="5"/>
        <v>35</v>
      </c>
      <c r="J42" s="271">
        <v>32560</v>
      </c>
      <c r="K42" s="271">
        <v>1530</v>
      </c>
      <c r="L42" s="271">
        <v>14626</v>
      </c>
      <c r="M42" s="271">
        <v>5423</v>
      </c>
      <c r="N42" s="271">
        <v>642</v>
      </c>
      <c r="O42" s="271">
        <v>194</v>
      </c>
      <c r="P42" s="271">
        <v>1145</v>
      </c>
      <c r="Q42" s="271">
        <v>6</v>
      </c>
      <c r="R42" s="271">
        <v>732</v>
      </c>
      <c r="S42" s="271">
        <v>522</v>
      </c>
      <c r="T42" s="271">
        <v>559</v>
      </c>
    </row>
    <row r="43" spans="1:20" ht="15.75" customHeight="1">
      <c r="A43" s="290">
        <f t="shared" si="3"/>
        <v>36</v>
      </c>
      <c r="B43" s="287" t="s">
        <v>722</v>
      </c>
      <c r="C43" s="283">
        <v>89</v>
      </c>
      <c r="D43" s="283">
        <v>2762</v>
      </c>
      <c r="E43" s="283">
        <v>2169</v>
      </c>
      <c r="F43" s="283">
        <v>81</v>
      </c>
      <c r="G43" s="283">
        <v>253</v>
      </c>
      <c r="H43" s="288">
        <f t="shared" si="4"/>
        <v>5354</v>
      </c>
      <c r="I43" s="285">
        <f t="shared" si="5"/>
        <v>36</v>
      </c>
      <c r="J43" s="271">
        <v>521</v>
      </c>
      <c r="K43" s="271">
        <v>1</v>
      </c>
      <c r="L43" s="271">
        <v>455</v>
      </c>
      <c r="M43" s="271">
        <v>232</v>
      </c>
      <c r="N43" s="271">
        <v>11</v>
      </c>
      <c r="O43" s="271">
        <v>6</v>
      </c>
      <c r="P43" s="271">
        <v>63</v>
      </c>
      <c r="R43" s="271">
        <v>70</v>
      </c>
      <c r="S43" s="271">
        <v>65</v>
      </c>
      <c r="T43" s="271">
        <v>85</v>
      </c>
    </row>
    <row r="44" spans="1:20" ht="15.75" customHeight="1">
      <c r="A44" s="290">
        <f t="shared" si="3"/>
        <v>37</v>
      </c>
      <c r="B44" s="287" t="s">
        <v>723</v>
      </c>
      <c r="C44" s="283">
        <v>406</v>
      </c>
      <c r="D44" s="283">
        <v>19500</v>
      </c>
      <c r="E44" s="283">
        <v>8025</v>
      </c>
      <c r="F44" s="283">
        <v>271</v>
      </c>
      <c r="G44" s="283">
        <v>443</v>
      </c>
      <c r="H44" s="288">
        <f t="shared" si="4"/>
        <v>28645</v>
      </c>
      <c r="I44" s="285">
        <f t="shared" si="5"/>
        <v>37</v>
      </c>
      <c r="J44" s="271">
        <v>3333</v>
      </c>
      <c r="K44" s="271">
        <v>39</v>
      </c>
      <c r="L44" s="271">
        <v>1331</v>
      </c>
      <c r="M44" s="271">
        <v>604</v>
      </c>
      <c r="N44" s="271">
        <v>111</v>
      </c>
      <c r="O44" s="271">
        <v>72</v>
      </c>
      <c r="P44" s="271">
        <v>168</v>
      </c>
      <c r="Q44" s="271">
        <v>1</v>
      </c>
      <c r="R44" s="271">
        <v>102</v>
      </c>
      <c r="S44" s="271">
        <v>89</v>
      </c>
      <c r="T44" s="271">
        <v>142</v>
      </c>
    </row>
    <row r="45" spans="1:20" ht="15.75" customHeight="1">
      <c r="A45" s="290">
        <f t="shared" si="3"/>
        <v>38</v>
      </c>
      <c r="B45" s="287" t="s">
        <v>724</v>
      </c>
      <c r="C45" s="283">
        <v>1624</v>
      </c>
      <c r="D45" s="283">
        <v>58132</v>
      </c>
      <c r="E45" s="283">
        <v>24182</v>
      </c>
      <c r="F45" s="283">
        <v>1012</v>
      </c>
      <c r="G45" s="283">
        <v>1307</v>
      </c>
      <c r="H45" s="288">
        <f t="shared" si="4"/>
        <v>86257</v>
      </c>
      <c r="I45" s="285">
        <f t="shared" si="5"/>
        <v>38</v>
      </c>
      <c r="J45" s="271">
        <v>8974</v>
      </c>
      <c r="K45" s="271">
        <v>45</v>
      </c>
      <c r="L45" s="271">
        <v>4076</v>
      </c>
      <c r="M45" s="271">
        <v>2219</v>
      </c>
      <c r="N45" s="271">
        <v>102</v>
      </c>
      <c r="O45" s="271">
        <v>38</v>
      </c>
      <c r="P45" s="271">
        <v>396</v>
      </c>
      <c r="Q45" s="271">
        <v>1</v>
      </c>
      <c r="R45" s="271">
        <v>316</v>
      </c>
      <c r="S45" s="271">
        <v>239</v>
      </c>
      <c r="T45" s="271">
        <v>240</v>
      </c>
    </row>
    <row r="46" spans="1:20" ht="15.75" customHeight="1">
      <c r="A46" s="290">
        <f t="shared" si="3"/>
        <v>39</v>
      </c>
      <c r="B46" s="287" t="s">
        <v>725</v>
      </c>
      <c r="C46" s="283">
        <v>368</v>
      </c>
      <c r="D46" s="283">
        <v>18802</v>
      </c>
      <c r="E46" s="283">
        <v>6158</v>
      </c>
      <c r="F46" s="283">
        <v>261</v>
      </c>
      <c r="G46" s="283">
        <v>284</v>
      </c>
      <c r="H46" s="288">
        <f t="shared" si="4"/>
        <v>25873</v>
      </c>
      <c r="I46" s="285">
        <f t="shared" si="5"/>
        <v>39</v>
      </c>
      <c r="J46" s="271">
        <v>2289</v>
      </c>
      <c r="K46" s="271">
        <v>31</v>
      </c>
      <c r="L46" s="271">
        <v>719</v>
      </c>
      <c r="M46" s="271">
        <v>373</v>
      </c>
      <c r="N46" s="271">
        <v>81</v>
      </c>
      <c r="O46" s="271">
        <v>21</v>
      </c>
      <c r="P46" s="271">
        <v>84</v>
      </c>
      <c r="Q46" s="271">
        <v>5</v>
      </c>
      <c r="R46" s="271">
        <v>50</v>
      </c>
      <c r="S46" s="271">
        <v>30</v>
      </c>
      <c r="T46" s="271">
        <v>60</v>
      </c>
    </row>
    <row r="47" spans="1:20" s="276" customFormat="1" ht="15.75" customHeight="1">
      <c r="A47" s="290">
        <f t="shared" si="3"/>
        <v>40</v>
      </c>
      <c r="B47" s="287" t="s">
        <v>726</v>
      </c>
      <c r="C47" s="283">
        <v>220</v>
      </c>
      <c r="D47" s="283">
        <v>8289</v>
      </c>
      <c r="E47" s="283">
        <v>3925</v>
      </c>
      <c r="F47" s="283">
        <v>128</v>
      </c>
      <c r="G47" s="283">
        <v>219</v>
      </c>
      <c r="H47" s="288">
        <f t="shared" si="4"/>
        <v>12781</v>
      </c>
      <c r="I47" s="293"/>
      <c r="J47" s="293"/>
      <c r="K47" s="293"/>
      <c r="L47" s="293"/>
      <c r="M47" s="293"/>
      <c r="N47" s="293"/>
      <c r="O47" s="293"/>
      <c r="P47" s="293"/>
      <c r="Q47" s="293"/>
      <c r="R47" s="293"/>
      <c r="S47" s="293"/>
      <c r="T47" s="293"/>
    </row>
    <row r="48" spans="1:20" ht="15.75" customHeight="1">
      <c r="A48" s="290">
        <f t="shared" si="3"/>
        <v>41</v>
      </c>
      <c r="B48" s="287" t="s">
        <v>727</v>
      </c>
      <c r="C48" s="283">
        <v>1662</v>
      </c>
      <c r="D48" s="283">
        <v>88711</v>
      </c>
      <c r="E48" s="283">
        <v>33630</v>
      </c>
      <c r="F48" s="283">
        <v>2009</v>
      </c>
      <c r="G48" s="283">
        <v>1925</v>
      </c>
      <c r="H48" s="288">
        <f t="shared" si="4"/>
        <v>127937</v>
      </c>
      <c r="I48" s="294" t="e">
        <f>+#REF!+1</f>
        <v>#REF!</v>
      </c>
      <c r="J48" s="271">
        <v>12142</v>
      </c>
      <c r="K48" s="271">
        <v>123</v>
      </c>
      <c r="L48" s="271">
        <v>6255</v>
      </c>
      <c r="M48" s="271">
        <v>2908</v>
      </c>
      <c r="N48" s="271">
        <v>209</v>
      </c>
      <c r="O48" s="271">
        <v>70</v>
      </c>
      <c r="P48" s="271">
        <v>659</v>
      </c>
      <c r="Q48" s="271">
        <v>2</v>
      </c>
      <c r="R48" s="271">
        <v>511</v>
      </c>
      <c r="S48" s="271">
        <v>359</v>
      </c>
      <c r="T48" s="271">
        <v>250</v>
      </c>
    </row>
    <row r="49" ht="15.75" customHeight="1">
      <c r="I49" s="285"/>
    </row>
    <row r="50" ht="15.75" customHeight="1" thickBot="1">
      <c r="I50" s="285"/>
    </row>
    <row r="51" spans="1:8" ht="12.75">
      <c r="A51" s="904" t="s">
        <v>496</v>
      </c>
      <c r="B51" s="907" t="s">
        <v>578</v>
      </c>
      <c r="C51" s="910" t="s">
        <v>672</v>
      </c>
      <c r="D51" s="911"/>
      <c r="E51" s="912"/>
      <c r="F51" s="910" t="s">
        <v>673</v>
      </c>
      <c r="G51" s="912"/>
      <c r="H51" s="894" t="s">
        <v>86</v>
      </c>
    </row>
    <row r="52" spans="1:8" ht="30.75" customHeight="1" thickBot="1">
      <c r="A52" s="905"/>
      <c r="B52" s="908"/>
      <c r="C52" s="891" t="s">
        <v>674</v>
      </c>
      <c r="D52" s="892"/>
      <c r="E52" s="893"/>
      <c r="F52" s="891" t="s">
        <v>675</v>
      </c>
      <c r="G52" s="893"/>
      <c r="H52" s="895"/>
    </row>
    <row r="53" spans="1:8" s="276" customFormat="1" ht="50.25" customHeight="1">
      <c r="A53" s="905"/>
      <c r="B53" s="909"/>
      <c r="C53" s="274" t="s">
        <v>17</v>
      </c>
      <c r="D53" s="275" t="s">
        <v>19</v>
      </c>
      <c r="E53" s="275" t="s">
        <v>20</v>
      </c>
      <c r="F53" s="275" t="s">
        <v>676</v>
      </c>
      <c r="G53" s="275" t="s">
        <v>769</v>
      </c>
      <c r="H53" s="895"/>
    </row>
    <row r="54" spans="1:8" s="280" customFormat="1" ht="41.25" customHeight="1" thickBot="1">
      <c r="A54" s="906"/>
      <c r="B54" s="277" t="s">
        <v>579</v>
      </c>
      <c r="C54" s="278" t="s">
        <v>677</v>
      </c>
      <c r="D54" s="279" t="s">
        <v>678</v>
      </c>
      <c r="E54" s="278" t="s">
        <v>771</v>
      </c>
      <c r="F54" s="278" t="s">
        <v>679</v>
      </c>
      <c r="G54" s="278" t="s">
        <v>770</v>
      </c>
      <c r="H54" s="278" t="s">
        <v>680</v>
      </c>
    </row>
    <row r="55" spans="1:20" ht="15.75" customHeight="1">
      <c r="A55" s="290">
        <f>+A48+1</f>
        <v>42</v>
      </c>
      <c r="B55" s="287" t="s">
        <v>728</v>
      </c>
      <c r="C55" s="283">
        <v>1088</v>
      </c>
      <c r="D55" s="283">
        <v>60992</v>
      </c>
      <c r="E55" s="283">
        <v>24315</v>
      </c>
      <c r="F55" s="283">
        <v>920</v>
      </c>
      <c r="G55" s="283">
        <v>1733</v>
      </c>
      <c r="H55" s="288">
        <f aca="true" t="shared" si="6" ref="H55:H70">+C55+D55+E55+F55+G55</f>
        <v>89048</v>
      </c>
      <c r="I55" s="294" t="e">
        <f>+I48+1</f>
        <v>#REF!</v>
      </c>
      <c r="J55" s="271">
        <v>8218</v>
      </c>
      <c r="K55" s="271">
        <v>64</v>
      </c>
      <c r="L55" s="271">
        <v>3942</v>
      </c>
      <c r="M55" s="271">
        <v>2156</v>
      </c>
      <c r="N55" s="271">
        <v>106</v>
      </c>
      <c r="O55" s="271">
        <v>44</v>
      </c>
      <c r="P55" s="271">
        <v>650</v>
      </c>
      <c r="Q55" s="271">
        <v>1</v>
      </c>
      <c r="R55" s="271">
        <v>413</v>
      </c>
      <c r="S55" s="271">
        <v>342</v>
      </c>
      <c r="T55" s="271">
        <v>209</v>
      </c>
    </row>
    <row r="56" spans="1:20" ht="15.75" customHeight="1">
      <c r="A56" s="290">
        <f t="shared" si="2"/>
        <v>43</v>
      </c>
      <c r="B56" s="287" t="s">
        <v>729</v>
      </c>
      <c r="C56" s="283">
        <v>759</v>
      </c>
      <c r="D56" s="283">
        <v>47218</v>
      </c>
      <c r="E56" s="283">
        <v>16639</v>
      </c>
      <c r="F56" s="283">
        <v>724</v>
      </c>
      <c r="G56" s="283">
        <v>916</v>
      </c>
      <c r="H56" s="288">
        <f t="shared" si="6"/>
        <v>66256</v>
      </c>
      <c r="I56" s="294" t="e">
        <f aca="true" t="shared" si="7" ref="I56:I70">+I55+1</f>
        <v>#REF!</v>
      </c>
      <c r="J56" s="271">
        <v>7191</v>
      </c>
      <c r="K56" s="271">
        <v>29</v>
      </c>
      <c r="L56" s="271">
        <v>2058</v>
      </c>
      <c r="M56" s="271">
        <v>1247</v>
      </c>
      <c r="N56" s="271">
        <v>116</v>
      </c>
      <c r="O56" s="271">
        <v>57</v>
      </c>
      <c r="P56" s="271">
        <v>437</v>
      </c>
      <c r="R56" s="271">
        <v>226</v>
      </c>
      <c r="S56" s="271">
        <v>224</v>
      </c>
      <c r="T56" s="271">
        <v>151</v>
      </c>
    </row>
    <row r="57" spans="1:20" ht="15.75" customHeight="1">
      <c r="A57" s="290">
        <f t="shared" si="2"/>
        <v>44</v>
      </c>
      <c r="B57" s="292" t="s">
        <v>730</v>
      </c>
      <c r="C57" s="283">
        <v>745</v>
      </c>
      <c r="D57" s="283">
        <v>24163</v>
      </c>
      <c r="E57" s="283">
        <v>12495</v>
      </c>
      <c r="F57" s="283">
        <v>336</v>
      </c>
      <c r="G57" s="283">
        <v>598</v>
      </c>
      <c r="H57" s="288">
        <f t="shared" si="6"/>
        <v>38337</v>
      </c>
      <c r="I57" s="294" t="e">
        <f t="shared" si="7"/>
        <v>#REF!</v>
      </c>
      <c r="J57" s="271">
        <v>4154</v>
      </c>
      <c r="K57" s="271">
        <v>62</v>
      </c>
      <c r="L57" s="271">
        <v>2607</v>
      </c>
      <c r="M57" s="271">
        <v>1166</v>
      </c>
      <c r="N57" s="271">
        <v>49</v>
      </c>
      <c r="O57" s="271">
        <v>25</v>
      </c>
      <c r="P57" s="271">
        <v>234</v>
      </c>
      <c r="R57" s="271">
        <v>171</v>
      </c>
      <c r="S57" s="271">
        <v>137</v>
      </c>
      <c r="T57" s="271">
        <v>114</v>
      </c>
    </row>
    <row r="58" spans="1:20" ht="15.75" customHeight="1">
      <c r="A58" s="290">
        <f t="shared" si="2"/>
        <v>45</v>
      </c>
      <c r="B58" s="292" t="s">
        <v>731</v>
      </c>
      <c r="C58" s="283">
        <v>1021</v>
      </c>
      <c r="D58" s="283">
        <v>50627</v>
      </c>
      <c r="E58" s="283">
        <v>17746</v>
      </c>
      <c r="F58" s="283">
        <v>833</v>
      </c>
      <c r="G58" s="283">
        <v>1003</v>
      </c>
      <c r="H58" s="288">
        <f t="shared" si="6"/>
        <v>71230</v>
      </c>
      <c r="I58" s="294" t="e">
        <f t="shared" si="7"/>
        <v>#REF!</v>
      </c>
      <c r="J58" s="271">
        <v>6287</v>
      </c>
      <c r="K58" s="271">
        <v>79</v>
      </c>
      <c r="L58" s="271">
        <v>2545</v>
      </c>
      <c r="M58" s="271">
        <v>1245</v>
      </c>
      <c r="N58" s="271">
        <v>172</v>
      </c>
      <c r="O58" s="271">
        <v>73</v>
      </c>
      <c r="P58" s="271">
        <v>351</v>
      </c>
      <c r="Q58" s="271">
        <v>2</v>
      </c>
      <c r="R58" s="271">
        <v>216</v>
      </c>
      <c r="S58" s="271">
        <v>189</v>
      </c>
      <c r="T58" s="271">
        <v>183</v>
      </c>
    </row>
    <row r="59" spans="1:20" ht="15.75" customHeight="1">
      <c r="A59" s="290">
        <f t="shared" si="2"/>
        <v>46</v>
      </c>
      <c r="B59" s="292" t="s">
        <v>732</v>
      </c>
      <c r="C59" s="283">
        <v>395</v>
      </c>
      <c r="D59" s="283">
        <v>17370</v>
      </c>
      <c r="E59" s="283">
        <v>7965</v>
      </c>
      <c r="F59" s="283">
        <v>469</v>
      </c>
      <c r="G59" s="283">
        <v>1055</v>
      </c>
      <c r="H59" s="288">
        <f t="shared" si="6"/>
        <v>27254</v>
      </c>
      <c r="I59" s="294" t="e">
        <f t="shared" si="7"/>
        <v>#REF!</v>
      </c>
      <c r="J59" s="271">
        <v>1817</v>
      </c>
      <c r="K59" s="271">
        <v>12</v>
      </c>
      <c r="L59" s="271">
        <v>1510</v>
      </c>
      <c r="M59" s="271">
        <v>900</v>
      </c>
      <c r="N59" s="271">
        <v>32</v>
      </c>
      <c r="O59" s="271">
        <v>19</v>
      </c>
      <c r="P59" s="271">
        <v>239</v>
      </c>
      <c r="Q59" s="271">
        <v>1</v>
      </c>
      <c r="R59" s="271">
        <v>282</v>
      </c>
      <c r="S59" s="276">
        <v>221</v>
      </c>
      <c r="T59" s="271">
        <v>190</v>
      </c>
    </row>
    <row r="60" spans="1:20" ht="15.75" customHeight="1">
      <c r="A60" s="290">
        <f t="shared" si="2"/>
        <v>47</v>
      </c>
      <c r="B60" s="292" t="s">
        <v>733</v>
      </c>
      <c r="C60" s="283">
        <v>89</v>
      </c>
      <c r="D60" s="283">
        <v>3804</v>
      </c>
      <c r="E60" s="283">
        <v>4257</v>
      </c>
      <c r="F60" s="283">
        <v>124</v>
      </c>
      <c r="G60" s="283">
        <v>484</v>
      </c>
      <c r="H60" s="288">
        <f t="shared" si="6"/>
        <v>8758</v>
      </c>
      <c r="I60" s="294" t="e">
        <f t="shared" si="7"/>
        <v>#REF!</v>
      </c>
      <c r="J60" s="271">
        <v>774</v>
      </c>
      <c r="K60" s="271">
        <v>2</v>
      </c>
      <c r="L60" s="271">
        <v>1064</v>
      </c>
      <c r="M60" s="271">
        <v>583</v>
      </c>
      <c r="N60" s="271">
        <v>12</v>
      </c>
      <c r="O60" s="271">
        <v>5</v>
      </c>
      <c r="P60" s="271">
        <v>93</v>
      </c>
      <c r="R60" s="271">
        <v>163</v>
      </c>
      <c r="S60" s="276">
        <v>115</v>
      </c>
      <c r="T60" s="271">
        <v>84</v>
      </c>
    </row>
    <row r="61" spans="1:20" ht="15.75" customHeight="1">
      <c r="A61" s="290">
        <f t="shared" si="2"/>
        <v>48</v>
      </c>
      <c r="B61" s="292" t="s">
        <v>734</v>
      </c>
      <c r="C61" s="283">
        <v>595</v>
      </c>
      <c r="D61" s="283">
        <v>37459</v>
      </c>
      <c r="E61" s="283">
        <v>10135</v>
      </c>
      <c r="F61" s="283">
        <v>395</v>
      </c>
      <c r="G61" s="283">
        <v>526</v>
      </c>
      <c r="H61" s="288">
        <f t="shared" si="6"/>
        <v>49110</v>
      </c>
      <c r="I61" s="294" t="e">
        <f t="shared" si="7"/>
        <v>#REF!</v>
      </c>
      <c r="J61" s="271">
        <v>3179</v>
      </c>
      <c r="K61" s="271">
        <v>50</v>
      </c>
      <c r="L61" s="271">
        <v>1288</v>
      </c>
      <c r="M61" s="271">
        <v>645</v>
      </c>
      <c r="N61" s="271">
        <v>70</v>
      </c>
      <c r="O61" s="271">
        <v>28</v>
      </c>
      <c r="P61" s="271">
        <v>201</v>
      </c>
      <c r="R61" s="271">
        <v>111</v>
      </c>
      <c r="S61" s="271">
        <v>79</v>
      </c>
      <c r="T61" s="271">
        <v>104</v>
      </c>
    </row>
    <row r="62" spans="1:20" ht="15.75" customHeight="1">
      <c r="A62" s="290">
        <f t="shared" si="2"/>
        <v>49</v>
      </c>
      <c r="B62" s="292" t="s">
        <v>735</v>
      </c>
      <c r="C62" s="283">
        <v>21</v>
      </c>
      <c r="D62" s="283">
        <v>1256</v>
      </c>
      <c r="E62" s="283">
        <v>1297</v>
      </c>
      <c r="F62" s="283">
        <v>71</v>
      </c>
      <c r="G62" s="283">
        <v>127</v>
      </c>
      <c r="H62" s="288">
        <f t="shared" si="6"/>
        <v>2772</v>
      </c>
      <c r="I62" s="294" t="e">
        <f t="shared" si="7"/>
        <v>#REF!</v>
      </c>
      <c r="J62" s="271">
        <v>239</v>
      </c>
      <c r="K62" s="271">
        <v>0</v>
      </c>
      <c r="L62" s="271">
        <v>343</v>
      </c>
      <c r="M62" s="271">
        <v>189</v>
      </c>
      <c r="N62" s="271">
        <v>0</v>
      </c>
      <c r="O62" s="271">
        <v>0</v>
      </c>
      <c r="P62" s="271">
        <v>24</v>
      </c>
      <c r="R62" s="271">
        <v>48</v>
      </c>
      <c r="S62" s="271">
        <v>39</v>
      </c>
      <c r="T62" s="271">
        <v>48</v>
      </c>
    </row>
    <row r="63" spans="1:20" ht="15.75" customHeight="1">
      <c r="A63" s="290">
        <f t="shared" si="2"/>
        <v>50</v>
      </c>
      <c r="B63" s="292" t="s">
        <v>736</v>
      </c>
      <c r="C63" s="283">
        <v>243</v>
      </c>
      <c r="D63" s="283">
        <v>9396</v>
      </c>
      <c r="E63" s="283">
        <v>3926</v>
      </c>
      <c r="F63" s="283">
        <v>92</v>
      </c>
      <c r="G63" s="283">
        <v>249</v>
      </c>
      <c r="H63" s="288">
        <f t="shared" si="6"/>
        <v>13906</v>
      </c>
      <c r="I63" s="294" t="e">
        <f t="shared" si="7"/>
        <v>#REF!</v>
      </c>
      <c r="J63" s="271">
        <v>1396</v>
      </c>
      <c r="K63" s="271">
        <v>4</v>
      </c>
      <c r="L63" s="271">
        <v>649</v>
      </c>
      <c r="M63" s="271">
        <v>306</v>
      </c>
      <c r="N63" s="271">
        <v>33</v>
      </c>
      <c r="O63" s="271">
        <v>15</v>
      </c>
      <c r="P63" s="271">
        <v>75</v>
      </c>
      <c r="R63" s="271">
        <v>65</v>
      </c>
      <c r="S63" s="271">
        <v>50</v>
      </c>
      <c r="T63" s="271">
        <v>39</v>
      </c>
    </row>
    <row r="64" spans="1:20" ht="15.75" customHeight="1">
      <c r="A64" s="290">
        <f t="shared" si="2"/>
        <v>51</v>
      </c>
      <c r="B64" s="292" t="s">
        <v>737</v>
      </c>
      <c r="C64" s="283">
        <v>202</v>
      </c>
      <c r="D64" s="283">
        <v>8583</v>
      </c>
      <c r="E64" s="283">
        <v>3821</v>
      </c>
      <c r="F64" s="283">
        <v>137</v>
      </c>
      <c r="G64" s="283">
        <v>252</v>
      </c>
      <c r="H64" s="288">
        <f t="shared" si="6"/>
        <v>12995</v>
      </c>
      <c r="I64" s="294" t="e">
        <f t="shared" si="7"/>
        <v>#REF!</v>
      </c>
      <c r="J64" s="271">
        <v>1335</v>
      </c>
      <c r="K64" s="271">
        <v>4</v>
      </c>
      <c r="L64" s="271">
        <v>760</v>
      </c>
      <c r="M64" s="271">
        <v>421</v>
      </c>
      <c r="N64" s="271">
        <v>27</v>
      </c>
      <c r="O64" s="271">
        <v>9</v>
      </c>
      <c r="P64" s="271">
        <v>94</v>
      </c>
      <c r="Q64" s="271">
        <v>1</v>
      </c>
      <c r="R64" s="271">
        <v>73</v>
      </c>
      <c r="S64" s="271">
        <v>44</v>
      </c>
      <c r="T64" s="271">
        <v>43</v>
      </c>
    </row>
    <row r="65" spans="1:20" ht="15.75" customHeight="1">
      <c r="A65" s="290">
        <f t="shared" si="2"/>
        <v>52</v>
      </c>
      <c r="B65" s="292" t="s">
        <v>738</v>
      </c>
      <c r="C65" s="283">
        <v>658</v>
      </c>
      <c r="D65" s="283">
        <v>25924</v>
      </c>
      <c r="E65" s="283">
        <v>9834</v>
      </c>
      <c r="F65" s="283">
        <v>688</v>
      </c>
      <c r="G65" s="283">
        <v>1138</v>
      </c>
      <c r="H65" s="288">
        <f t="shared" si="6"/>
        <v>38242</v>
      </c>
      <c r="I65" s="294" t="e">
        <f t="shared" si="7"/>
        <v>#REF!</v>
      </c>
      <c r="J65" s="271">
        <v>2533</v>
      </c>
      <c r="K65" s="271">
        <v>65</v>
      </c>
      <c r="L65" s="271">
        <v>1390</v>
      </c>
      <c r="M65" s="271">
        <v>732</v>
      </c>
      <c r="N65" s="271">
        <v>67</v>
      </c>
      <c r="O65" s="271">
        <v>39</v>
      </c>
      <c r="P65" s="271">
        <v>331</v>
      </c>
      <c r="Q65" s="271">
        <v>1</v>
      </c>
      <c r="R65" s="271">
        <v>320</v>
      </c>
      <c r="S65" s="271">
        <v>258</v>
      </c>
      <c r="T65" s="271">
        <v>241</v>
      </c>
    </row>
    <row r="66" spans="1:20" ht="15.75" customHeight="1">
      <c r="A66" s="281">
        <f t="shared" si="2"/>
        <v>53</v>
      </c>
      <c r="B66" s="282" t="s">
        <v>739</v>
      </c>
      <c r="C66" s="283">
        <v>538</v>
      </c>
      <c r="D66" s="283">
        <v>22826</v>
      </c>
      <c r="E66" s="283">
        <v>14470</v>
      </c>
      <c r="F66" s="283">
        <v>125</v>
      </c>
      <c r="G66" s="283">
        <v>295</v>
      </c>
      <c r="H66" s="288">
        <f t="shared" si="6"/>
        <v>38254</v>
      </c>
      <c r="I66" s="294" t="e">
        <f t="shared" si="7"/>
        <v>#REF!</v>
      </c>
      <c r="J66" s="271">
        <v>6131</v>
      </c>
      <c r="K66" s="271">
        <v>4</v>
      </c>
      <c r="L66" s="271">
        <v>3202</v>
      </c>
      <c r="M66" s="271">
        <v>1151</v>
      </c>
      <c r="N66" s="271">
        <v>75</v>
      </c>
      <c r="O66" s="271">
        <v>29</v>
      </c>
      <c r="P66" s="271">
        <v>139</v>
      </c>
      <c r="R66" s="271">
        <v>97</v>
      </c>
      <c r="S66" s="271">
        <v>46</v>
      </c>
      <c r="T66" s="271">
        <v>59</v>
      </c>
    </row>
    <row r="67" spans="1:20" ht="15.75" customHeight="1">
      <c r="A67" s="286">
        <f t="shared" si="2"/>
        <v>54</v>
      </c>
      <c r="B67" s="287" t="s">
        <v>740</v>
      </c>
      <c r="C67" s="283">
        <v>870</v>
      </c>
      <c r="D67" s="283">
        <v>39413</v>
      </c>
      <c r="E67" s="283">
        <v>17008</v>
      </c>
      <c r="F67" s="283">
        <v>595</v>
      </c>
      <c r="G67" s="283">
        <v>812</v>
      </c>
      <c r="H67" s="288">
        <f t="shared" si="6"/>
        <v>58698</v>
      </c>
      <c r="I67" s="294" t="e">
        <f t="shared" si="7"/>
        <v>#REF!</v>
      </c>
      <c r="J67" s="271">
        <v>6000</v>
      </c>
      <c r="K67" s="271">
        <v>69</v>
      </c>
      <c r="L67" s="271">
        <v>3076</v>
      </c>
      <c r="M67" s="271">
        <v>1419</v>
      </c>
      <c r="N67" s="271">
        <v>149</v>
      </c>
      <c r="O67" s="271">
        <v>50</v>
      </c>
      <c r="P67" s="271">
        <v>290</v>
      </c>
      <c r="R67" s="271">
        <v>216</v>
      </c>
      <c r="S67" s="271">
        <v>158</v>
      </c>
      <c r="T67" s="271">
        <v>114</v>
      </c>
    </row>
    <row r="68" spans="1:20" ht="15.75" customHeight="1">
      <c r="A68" s="286">
        <f t="shared" si="2"/>
        <v>55</v>
      </c>
      <c r="B68" s="289" t="s">
        <v>741</v>
      </c>
      <c r="C68" s="283">
        <v>1396</v>
      </c>
      <c r="D68" s="283">
        <v>66930</v>
      </c>
      <c r="E68" s="283">
        <v>24169</v>
      </c>
      <c r="F68" s="283">
        <v>926</v>
      </c>
      <c r="G68" s="283">
        <v>1697</v>
      </c>
      <c r="H68" s="288">
        <f t="shared" si="6"/>
        <v>95118</v>
      </c>
      <c r="I68" s="294" t="e">
        <f t="shared" si="7"/>
        <v>#REF!</v>
      </c>
      <c r="J68" s="271">
        <v>7476</v>
      </c>
      <c r="K68" s="271">
        <v>469</v>
      </c>
      <c r="L68" s="271">
        <v>4894</v>
      </c>
      <c r="M68" s="271">
        <v>2050</v>
      </c>
      <c r="N68" s="271">
        <v>169</v>
      </c>
      <c r="O68" s="271">
        <v>68</v>
      </c>
      <c r="P68" s="271">
        <v>527</v>
      </c>
      <c r="Q68" s="271">
        <v>1</v>
      </c>
      <c r="R68" s="271">
        <v>479</v>
      </c>
      <c r="S68" s="271">
        <v>292</v>
      </c>
      <c r="T68" s="271">
        <v>264</v>
      </c>
    </row>
    <row r="69" spans="1:20" ht="15.75" customHeight="1">
      <c r="A69" s="286">
        <f t="shared" si="2"/>
        <v>56</v>
      </c>
      <c r="B69" s="287" t="s">
        <v>742</v>
      </c>
      <c r="C69" s="283">
        <v>55</v>
      </c>
      <c r="D69" s="283">
        <v>2233</v>
      </c>
      <c r="E69" s="283">
        <v>2311</v>
      </c>
      <c r="F69" s="283">
        <v>56</v>
      </c>
      <c r="G69" s="283">
        <v>256</v>
      </c>
      <c r="H69" s="288">
        <f t="shared" si="6"/>
        <v>4911</v>
      </c>
      <c r="I69" s="294" t="e">
        <f t="shared" si="7"/>
        <v>#REF!</v>
      </c>
      <c r="J69" s="271">
        <v>479</v>
      </c>
      <c r="K69" s="271">
        <v>2</v>
      </c>
      <c r="L69" s="271">
        <v>560</v>
      </c>
      <c r="M69" s="271">
        <v>367</v>
      </c>
      <c r="N69" s="271">
        <v>6</v>
      </c>
      <c r="O69" s="271">
        <v>2</v>
      </c>
      <c r="P69" s="271">
        <v>59</v>
      </c>
      <c r="R69" s="271">
        <v>96</v>
      </c>
      <c r="S69" s="271">
        <v>81</v>
      </c>
      <c r="T69" s="271">
        <v>22</v>
      </c>
    </row>
    <row r="70" spans="1:20" ht="15.75" customHeight="1">
      <c r="A70" s="286">
        <f t="shared" si="2"/>
        <v>57</v>
      </c>
      <c r="B70" s="287" t="s">
        <v>743</v>
      </c>
      <c r="C70" s="283">
        <v>290</v>
      </c>
      <c r="D70" s="283">
        <v>14460</v>
      </c>
      <c r="E70" s="283">
        <v>5281</v>
      </c>
      <c r="F70" s="283">
        <v>221</v>
      </c>
      <c r="G70" s="283">
        <v>344</v>
      </c>
      <c r="H70" s="288">
        <f t="shared" si="6"/>
        <v>20596</v>
      </c>
      <c r="I70" s="294" t="e">
        <f t="shared" si="7"/>
        <v>#REF!</v>
      </c>
      <c r="J70" s="271">
        <v>1987</v>
      </c>
      <c r="K70" s="271">
        <v>26</v>
      </c>
      <c r="L70" s="271">
        <v>1045</v>
      </c>
      <c r="M70" s="271">
        <v>427</v>
      </c>
      <c r="N70" s="271">
        <v>81</v>
      </c>
      <c r="O70" s="271">
        <v>45</v>
      </c>
      <c r="P70" s="271">
        <v>141</v>
      </c>
      <c r="R70" s="271">
        <v>113</v>
      </c>
      <c r="S70" s="271">
        <v>86</v>
      </c>
      <c r="T70" s="271">
        <v>137</v>
      </c>
    </row>
    <row r="71" spans="1:20" ht="15.75" customHeight="1">
      <c r="A71" s="281">
        <f aca="true" t="shared" si="8" ref="A71:A94">+A70+1</f>
        <v>58</v>
      </c>
      <c r="B71" s="282" t="s">
        <v>744</v>
      </c>
      <c r="C71" s="283">
        <v>665</v>
      </c>
      <c r="D71" s="283">
        <v>25878</v>
      </c>
      <c r="E71" s="283">
        <v>13269</v>
      </c>
      <c r="F71" s="283">
        <v>454</v>
      </c>
      <c r="G71" s="283">
        <v>759</v>
      </c>
      <c r="H71" s="288">
        <f aca="true" t="shared" si="9" ref="H71:H88">+C71+D71+E71+F71+G71</f>
        <v>41025</v>
      </c>
      <c r="I71" s="294" t="e">
        <f>+#REF!+1</f>
        <v>#REF!</v>
      </c>
      <c r="J71" s="271">
        <v>5261</v>
      </c>
      <c r="K71" s="271">
        <v>26</v>
      </c>
      <c r="L71" s="271">
        <v>2964</v>
      </c>
      <c r="M71" s="271">
        <v>1452</v>
      </c>
      <c r="N71" s="271">
        <v>74</v>
      </c>
      <c r="O71" s="271">
        <v>32</v>
      </c>
      <c r="P71" s="271">
        <v>262</v>
      </c>
      <c r="R71" s="271">
        <v>200</v>
      </c>
      <c r="S71" s="271">
        <v>165</v>
      </c>
      <c r="T71" s="271">
        <v>228</v>
      </c>
    </row>
    <row r="72" spans="1:20" ht="15.75" customHeight="1">
      <c r="A72" s="286">
        <f t="shared" si="8"/>
        <v>59</v>
      </c>
      <c r="B72" s="287" t="s">
        <v>745</v>
      </c>
      <c r="C72" s="283">
        <v>688</v>
      </c>
      <c r="D72" s="283">
        <v>33462</v>
      </c>
      <c r="E72" s="283">
        <v>9382</v>
      </c>
      <c r="F72" s="283">
        <v>543</v>
      </c>
      <c r="G72" s="283">
        <v>566</v>
      </c>
      <c r="H72" s="288">
        <f t="shared" si="9"/>
        <v>44641</v>
      </c>
      <c r="I72" s="294" t="e">
        <f>+I71+1</f>
        <v>#REF!</v>
      </c>
      <c r="J72" s="271">
        <v>2625</v>
      </c>
      <c r="K72" s="271">
        <v>69</v>
      </c>
      <c r="L72" s="271">
        <v>1033</v>
      </c>
      <c r="M72" s="271">
        <v>516</v>
      </c>
      <c r="N72" s="271">
        <v>85</v>
      </c>
      <c r="O72" s="271">
        <v>37</v>
      </c>
      <c r="P72" s="271">
        <v>159</v>
      </c>
      <c r="Q72" s="271">
        <v>1</v>
      </c>
      <c r="R72" s="271">
        <v>83</v>
      </c>
      <c r="S72" s="271">
        <v>69</v>
      </c>
      <c r="T72" s="271">
        <v>94</v>
      </c>
    </row>
    <row r="73" spans="1:20" ht="15.75" customHeight="1">
      <c r="A73" s="286">
        <f t="shared" si="8"/>
        <v>60</v>
      </c>
      <c r="B73" s="289" t="s">
        <v>746</v>
      </c>
      <c r="C73" s="283">
        <v>496</v>
      </c>
      <c r="D73" s="283">
        <v>19697</v>
      </c>
      <c r="E73" s="283">
        <v>9649</v>
      </c>
      <c r="F73" s="283">
        <v>354</v>
      </c>
      <c r="G73" s="283">
        <v>764</v>
      </c>
      <c r="H73" s="288">
        <f t="shared" si="9"/>
        <v>30960</v>
      </c>
      <c r="I73" s="294" t="e">
        <f>+I72+1</f>
        <v>#REF!</v>
      </c>
      <c r="J73" s="271">
        <v>3277</v>
      </c>
      <c r="K73" s="271">
        <v>13</v>
      </c>
      <c r="L73" s="271">
        <v>1569</v>
      </c>
      <c r="M73" s="271">
        <v>870</v>
      </c>
      <c r="N73" s="271">
        <v>51</v>
      </c>
      <c r="O73" s="271">
        <v>28</v>
      </c>
      <c r="P73" s="271">
        <v>280</v>
      </c>
      <c r="R73" s="271">
        <v>197</v>
      </c>
      <c r="S73" s="271">
        <v>165</v>
      </c>
      <c r="T73" s="271">
        <v>208</v>
      </c>
    </row>
    <row r="74" spans="1:20" ht="15.75" customHeight="1">
      <c r="A74" s="286">
        <f t="shared" si="8"/>
        <v>61</v>
      </c>
      <c r="B74" s="287" t="s">
        <v>747</v>
      </c>
      <c r="C74" s="283">
        <v>1080</v>
      </c>
      <c r="D74" s="283">
        <v>39532</v>
      </c>
      <c r="E74" s="283">
        <v>20690</v>
      </c>
      <c r="F74" s="283">
        <v>630</v>
      </c>
      <c r="G74" s="283">
        <v>2073</v>
      </c>
      <c r="H74" s="288">
        <f t="shared" si="9"/>
        <v>64005</v>
      </c>
      <c r="I74" s="294" t="e">
        <f>+I73+1</f>
        <v>#REF!</v>
      </c>
      <c r="J74" s="271">
        <v>7509</v>
      </c>
      <c r="K74" s="271">
        <v>68</v>
      </c>
      <c r="L74" s="271">
        <v>4529</v>
      </c>
      <c r="M74" s="271">
        <v>1732</v>
      </c>
      <c r="N74" s="271">
        <v>98</v>
      </c>
      <c r="O74" s="271">
        <v>35</v>
      </c>
      <c r="P74" s="271">
        <v>988</v>
      </c>
      <c r="R74" s="271">
        <v>793</v>
      </c>
      <c r="S74" s="271">
        <v>298</v>
      </c>
      <c r="T74" s="271">
        <v>243</v>
      </c>
    </row>
    <row r="75" spans="1:20" ht="15.75" customHeight="1">
      <c r="A75" s="286">
        <f t="shared" si="8"/>
        <v>62</v>
      </c>
      <c r="B75" s="287" t="s">
        <v>748</v>
      </c>
      <c r="C75" s="283">
        <v>55</v>
      </c>
      <c r="D75" s="283">
        <v>1687</v>
      </c>
      <c r="E75" s="283">
        <v>1006</v>
      </c>
      <c r="F75" s="283">
        <v>51</v>
      </c>
      <c r="G75" s="283">
        <v>72</v>
      </c>
      <c r="H75" s="288">
        <f t="shared" si="9"/>
        <v>2871</v>
      </c>
      <c r="I75" s="294" t="e">
        <f>+#REF!+1</f>
        <v>#REF!</v>
      </c>
      <c r="J75" s="271">
        <v>266</v>
      </c>
      <c r="K75" s="271">
        <v>1</v>
      </c>
      <c r="L75" s="271">
        <v>236</v>
      </c>
      <c r="M75" s="271">
        <v>87</v>
      </c>
      <c r="N75" s="271">
        <v>7</v>
      </c>
      <c r="O75" s="271">
        <v>4</v>
      </c>
      <c r="P75" s="271">
        <v>25</v>
      </c>
      <c r="R75" s="271">
        <v>37</v>
      </c>
      <c r="S75" s="271">
        <v>21</v>
      </c>
      <c r="T75" s="271">
        <v>30</v>
      </c>
    </row>
    <row r="76" spans="1:20" ht="15.75" customHeight="1">
      <c r="A76" s="286">
        <f t="shared" si="8"/>
        <v>63</v>
      </c>
      <c r="B76" s="287" t="s">
        <v>749</v>
      </c>
      <c r="C76" s="283">
        <v>236</v>
      </c>
      <c r="D76" s="283">
        <v>8624</v>
      </c>
      <c r="E76" s="283">
        <v>8552</v>
      </c>
      <c r="F76" s="283">
        <v>221</v>
      </c>
      <c r="G76" s="283">
        <v>841</v>
      </c>
      <c r="H76" s="288">
        <f t="shared" si="9"/>
        <v>18474</v>
      </c>
      <c r="I76" s="294" t="e">
        <f aca="true" t="shared" si="10" ref="I76:I93">+I75+1</f>
        <v>#REF!</v>
      </c>
      <c r="J76" s="271">
        <v>1496</v>
      </c>
      <c r="K76" s="271">
        <v>7</v>
      </c>
      <c r="L76" s="271">
        <v>2071</v>
      </c>
      <c r="M76" s="271">
        <v>1202</v>
      </c>
      <c r="N76" s="271">
        <v>25</v>
      </c>
      <c r="O76" s="271">
        <v>15</v>
      </c>
      <c r="P76" s="271">
        <v>150</v>
      </c>
      <c r="R76" s="271">
        <v>244</v>
      </c>
      <c r="S76" s="271">
        <v>184</v>
      </c>
      <c r="T76" s="271">
        <v>123</v>
      </c>
    </row>
    <row r="77" spans="1:20" ht="15.75" customHeight="1">
      <c r="A77" s="286">
        <f t="shared" si="8"/>
        <v>64</v>
      </c>
      <c r="B77" s="287" t="s">
        <v>750</v>
      </c>
      <c r="C77" s="283">
        <v>337</v>
      </c>
      <c r="D77" s="283">
        <v>19306</v>
      </c>
      <c r="E77" s="283">
        <v>5705</v>
      </c>
      <c r="F77" s="283">
        <v>377</v>
      </c>
      <c r="G77" s="283">
        <v>313</v>
      </c>
      <c r="H77" s="288">
        <f t="shared" si="9"/>
        <v>26038</v>
      </c>
      <c r="I77" s="294" t="e">
        <f t="shared" si="10"/>
        <v>#REF!</v>
      </c>
      <c r="J77" s="271">
        <v>1988</v>
      </c>
      <c r="K77" s="271">
        <v>46</v>
      </c>
      <c r="L77" s="271">
        <v>711</v>
      </c>
      <c r="M77" s="271">
        <v>339</v>
      </c>
      <c r="N77" s="271">
        <v>31</v>
      </c>
      <c r="O77" s="271">
        <v>10</v>
      </c>
      <c r="P77" s="271">
        <v>92</v>
      </c>
      <c r="Q77" s="271">
        <v>1</v>
      </c>
      <c r="R77" s="271">
        <v>52</v>
      </c>
      <c r="S77" s="271">
        <v>49</v>
      </c>
      <c r="T77" s="271">
        <v>43</v>
      </c>
    </row>
    <row r="78" spans="1:20" ht="15.75" customHeight="1">
      <c r="A78" s="286">
        <f t="shared" si="8"/>
        <v>65</v>
      </c>
      <c r="B78" s="287" t="s">
        <v>751</v>
      </c>
      <c r="C78" s="283">
        <v>138</v>
      </c>
      <c r="D78" s="283">
        <v>5819</v>
      </c>
      <c r="E78" s="283">
        <v>5735</v>
      </c>
      <c r="F78" s="283">
        <v>253</v>
      </c>
      <c r="G78" s="283">
        <v>755</v>
      </c>
      <c r="H78" s="288">
        <f t="shared" si="9"/>
        <v>12700</v>
      </c>
      <c r="I78" s="294" t="e">
        <f t="shared" si="10"/>
        <v>#REF!</v>
      </c>
      <c r="J78" s="271">
        <v>1121</v>
      </c>
      <c r="K78" s="271">
        <v>2</v>
      </c>
      <c r="L78" s="271">
        <v>1532</v>
      </c>
      <c r="M78" s="271">
        <v>838</v>
      </c>
      <c r="N78" s="271">
        <v>14</v>
      </c>
      <c r="O78" s="271">
        <v>6</v>
      </c>
      <c r="P78" s="271">
        <v>139</v>
      </c>
      <c r="R78" s="271">
        <v>238</v>
      </c>
      <c r="S78" s="271">
        <v>171</v>
      </c>
      <c r="T78" s="271">
        <v>107</v>
      </c>
    </row>
    <row r="79" spans="1:20" ht="15.75" customHeight="1">
      <c r="A79" s="286">
        <f t="shared" si="8"/>
        <v>66</v>
      </c>
      <c r="B79" s="287" t="s">
        <v>752</v>
      </c>
      <c r="C79" s="283">
        <v>234</v>
      </c>
      <c r="D79" s="283">
        <v>8454</v>
      </c>
      <c r="E79" s="283">
        <v>4207</v>
      </c>
      <c r="F79" s="283">
        <v>173</v>
      </c>
      <c r="G79" s="283">
        <v>481</v>
      </c>
      <c r="H79" s="288">
        <f t="shared" si="9"/>
        <v>13549</v>
      </c>
      <c r="I79" s="294" t="e">
        <f t="shared" si="10"/>
        <v>#REF!</v>
      </c>
      <c r="J79" s="271">
        <v>1273</v>
      </c>
      <c r="K79" s="271">
        <v>5</v>
      </c>
      <c r="L79" s="271">
        <v>790</v>
      </c>
      <c r="M79" s="271">
        <v>452</v>
      </c>
      <c r="N79" s="271">
        <v>19</v>
      </c>
      <c r="O79" s="271">
        <v>17</v>
      </c>
      <c r="P79" s="271">
        <v>159</v>
      </c>
      <c r="R79" s="271">
        <v>161</v>
      </c>
      <c r="S79" s="271">
        <v>126</v>
      </c>
      <c r="T79" s="271">
        <v>116</v>
      </c>
    </row>
    <row r="80" spans="1:20" ht="15.75" customHeight="1">
      <c r="A80" s="290">
        <f t="shared" si="8"/>
        <v>67</v>
      </c>
      <c r="B80" s="287" t="s">
        <v>753</v>
      </c>
      <c r="C80" s="283">
        <v>937</v>
      </c>
      <c r="D80" s="283">
        <v>67426</v>
      </c>
      <c r="E80" s="283">
        <v>34601</v>
      </c>
      <c r="F80" s="283">
        <v>8569</v>
      </c>
      <c r="G80" s="283">
        <v>7085</v>
      </c>
      <c r="H80" s="288">
        <f t="shared" si="9"/>
        <v>118618</v>
      </c>
      <c r="I80" s="294" t="e">
        <f t="shared" si="10"/>
        <v>#REF!</v>
      </c>
      <c r="J80" s="271">
        <v>16069</v>
      </c>
      <c r="K80" s="271">
        <v>35</v>
      </c>
      <c r="L80" s="271">
        <v>8646</v>
      </c>
      <c r="M80" s="271">
        <v>2922</v>
      </c>
      <c r="N80" s="271">
        <v>183</v>
      </c>
      <c r="O80" s="271">
        <v>67</v>
      </c>
      <c r="P80" s="271">
        <v>4386</v>
      </c>
      <c r="R80" s="271">
        <v>2545</v>
      </c>
      <c r="S80" s="271">
        <v>919</v>
      </c>
      <c r="T80" s="271">
        <v>271</v>
      </c>
    </row>
    <row r="81" spans="1:20" ht="15.75" customHeight="1">
      <c r="A81" s="290">
        <f t="shared" si="8"/>
        <v>68</v>
      </c>
      <c r="B81" s="287" t="s">
        <v>754</v>
      </c>
      <c r="C81" s="283">
        <v>136</v>
      </c>
      <c r="D81" s="283">
        <v>6733</v>
      </c>
      <c r="E81" s="283">
        <v>3148</v>
      </c>
      <c r="F81" s="283">
        <v>99</v>
      </c>
      <c r="G81" s="283">
        <v>315</v>
      </c>
      <c r="H81" s="288">
        <f t="shared" si="9"/>
        <v>10431</v>
      </c>
      <c r="I81" s="294" t="e">
        <f t="shared" si="10"/>
        <v>#REF!</v>
      </c>
      <c r="J81" s="271">
        <v>759</v>
      </c>
      <c r="K81" s="271">
        <v>3</v>
      </c>
      <c r="L81" s="271">
        <v>592</v>
      </c>
      <c r="M81" s="271">
        <v>272</v>
      </c>
      <c r="N81" s="271">
        <v>5</v>
      </c>
      <c r="O81" s="271">
        <v>0</v>
      </c>
      <c r="P81" s="271">
        <v>90</v>
      </c>
      <c r="R81" s="271">
        <v>93</v>
      </c>
      <c r="S81" s="271">
        <v>67</v>
      </c>
      <c r="T81" s="271">
        <v>48</v>
      </c>
    </row>
    <row r="82" spans="1:20" ht="15.75" customHeight="1">
      <c r="A82" s="290">
        <f t="shared" si="8"/>
        <v>69</v>
      </c>
      <c r="B82" s="287" t="s">
        <v>755</v>
      </c>
      <c r="C82" s="283">
        <v>82</v>
      </c>
      <c r="D82" s="283">
        <v>2066</v>
      </c>
      <c r="E82" s="283">
        <v>1100</v>
      </c>
      <c r="F82" s="283">
        <v>22</v>
      </c>
      <c r="G82" s="283">
        <v>69</v>
      </c>
      <c r="H82" s="288">
        <f t="shared" si="9"/>
        <v>3339</v>
      </c>
      <c r="I82" s="294" t="e">
        <f t="shared" si="10"/>
        <v>#REF!</v>
      </c>
      <c r="J82" s="271">
        <v>319</v>
      </c>
      <c r="K82" s="271">
        <v>0</v>
      </c>
      <c r="L82" s="271">
        <v>171</v>
      </c>
      <c r="M82" s="271">
        <v>95</v>
      </c>
      <c r="N82" s="271">
        <v>5</v>
      </c>
      <c r="O82" s="271">
        <v>3</v>
      </c>
      <c r="P82" s="271">
        <v>30</v>
      </c>
      <c r="R82" s="271">
        <v>17</v>
      </c>
      <c r="S82" s="271">
        <v>18</v>
      </c>
      <c r="T82" s="271">
        <v>44</v>
      </c>
    </row>
    <row r="83" spans="1:20" ht="15.75" customHeight="1">
      <c r="A83" s="290">
        <f t="shared" si="8"/>
        <v>70</v>
      </c>
      <c r="B83" s="287" t="s">
        <v>756</v>
      </c>
      <c r="C83" s="283">
        <v>146</v>
      </c>
      <c r="D83" s="283">
        <v>7012</v>
      </c>
      <c r="E83" s="283">
        <v>2395</v>
      </c>
      <c r="F83" s="283">
        <v>127</v>
      </c>
      <c r="G83" s="283">
        <v>324</v>
      </c>
      <c r="H83" s="288">
        <f t="shared" si="9"/>
        <v>10004</v>
      </c>
      <c r="I83" s="294" t="e">
        <f t="shared" si="10"/>
        <v>#REF!</v>
      </c>
      <c r="J83" s="271">
        <v>709</v>
      </c>
      <c r="K83" s="271">
        <v>3</v>
      </c>
      <c r="L83" s="271">
        <v>382</v>
      </c>
      <c r="M83" s="271">
        <v>250</v>
      </c>
      <c r="N83" s="271">
        <v>17</v>
      </c>
      <c r="O83" s="271">
        <v>6</v>
      </c>
      <c r="P83" s="271">
        <v>97</v>
      </c>
      <c r="R83" s="271">
        <v>83</v>
      </c>
      <c r="S83" s="271">
        <v>81</v>
      </c>
      <c r="T83" s="271">
        <v>54</v>
      </c>
    </row>
    <row r="84" spans="1:20" ht="15.75" customHeight="1">
      <c r="A84" s="290">
        <f t="shared" si="8"/>
        <v>71</v>
      </c>
      <c r="B84" s="287" t="s">
        <v>757</v>
      </c>
      <c r="C84" s="283">
        <v>280</v>
      </c>
      <c r="D84" s="283">
        <v>15141</v>
      </c>
      <c r="E84" s="283">
        <v>8586</v>
      </c>
      <c r="F84" s="283">
        <v>262</v>
      </c>
      <c r="G84" s="283">
        <v>409</v>
      </c>
      <c r="H84" s="288">
        <f t="shared" si="9"/>
        <v>24678</v>
      </c>
      <c r="I84" s="294" t="e">
        <f t="shared" si="10"/>
        <v>#REF!</v>
      </c>
      <c r="J84" s="271">
        <v>3765</v>
      </c>
      <c r="K84" s="271">
        <v>12</v>
      </c>
      <c r="L84" s="271">
        <v>1793</v>
      </c>
      <c r="M84" s="271">
        <v>824</v>
      </c>
      <c r="N84" s="271">
        <v>16</v>
      </c>
      <c r="O84" s="271">
        <v>7</v>
      </c>
      <c r="P84" s="271">
        <v>170</v>
      </c>
      <c r="R84" s="271">
        <v>101</v>
      </c>
      <c r="S84" s="271">
        <v>78</v>
      </c>
      <c r="T84" s="271">
        <v>43</v>
      </c>
    </row>
    <row r="85" spans="1:20" ht="15.75" customHeight="1">
      <c r="A85" s="290">
        <f t="shared" si="8"/>
        <v>72</v>
      </c>
      <c r="B85" s="287" t="s">
        <v>758</v>
      </c>
      <c r="C85" s="283">
        <v>61</v>
      </c>
      <c r="D85" s="283">
        <v>4700</v>
      </c>
      <c r="E85" s="283">
        <v>5723</v>
      </c>
      <c r="F85" s="283">
        <v>184</v>
      </c>
      <c r="G85" s="283">
        <v>560</v>
      </c>
      <c r="H85" s="288">
        <f t="shared" si="9"/>
        <v>11228</v>
      </c>
      <c r="I85" s="294" t="e">
        <f t="shared" si="10"/>
        <v>#REF!</v>
      </c>
      <c r="J85" s="271">
        <v>1117</v>
      </c>
      <c r="K85" s="271">
        <v>8</v>
      </c>
      <c r="L85" s="271">
        <v>1776</v>
      </c>
      <c r="M85" s="271">
        <v>881</v>
      </c>
      <c r="N85" s="271">
        <v>6</v>
      </c>
      <c r="O85" s="271">
        <v>2</v>
      </c>
      <c r="P85" s="271">
        <v>132</v>
      </c>
      <c r="R85" s="271">
        <v>239</v>
      </c>
      <c r="S85" s="271">
        <v>156</v>
      </c>
      <c r="T85" s="271">
        <v>57</v>
      </c>
    </row>
    <row r="86" spans="1:20" ht="15.75" customHeight="1">
      <c r="A86" s="290">
        <f t="shared" si="8"/>
        <v>73</v>
      </c>
      <c r="B86" s="287" t="s">
        <v>759</v>
      </c>
      <c r="C86" s="283">
        <v>10</v>
      </c>
      <c r="D86" s="283">
        <v>612</v>
      </c>
      <c r="E86" s="283">
        <v>1037</v>
      </c>
      <c r="F86" s="283">
        <v>42</v>
      </c>
      <c r="G86" s="283">
        <v>237</v>
      </c>
      <c r="H86" s="288">
        <f t="shared" si="9"/>
        <v>1938</v>
      </c>
      <c r="I86" s="294" t="e">
        <f t="shared" si="10"/>
        <v>#REF!</v>
      </c>
      <c r="J86" s="271">
        <v>128</v>
      </c>
      <c r="K86" s="271">
        <v>0</v>
      </c>
      <c r="L86" s="271">
        <v>200</v>
      </c>
      <c r="M86" s="271">
        <v>127</v>
      </c>
      <c r="N86" s="271">
        <v>2</v>
      </c>
      <c r="O86" s="271">
        <v>1</v>
      </c>
      <c r="P86" s="271">
        <v>50</v>
      </c>
      <c r="R86" s="271">
        <v>93</v>
      </c>
      <c r="S86" s="271">
        <v>46</v>
      </c>
      <c r="T86" s="271">
        <v>32</v>
      </c>
    </row>
    <row r="87" spans="1:20" ht="15.75" customHeight="1">
      <c r="A87" s="290">
        <f t="shared" si="8"/>
        <v>74</v>
      </c>
      <c r="B87" s="287" t="s">
        <v>760</v>
      </c>
      <c r="C87" s="283">
        <v>268</v>
      </c>
      <c r="D87" s="283">
        <v>20479</v>
      </c>
      <c r="E87" s="283">
        <v>8595</v>
      </c>
      <c r="F87" s="283">
        <v>2305</v>
      </c>
      <c r="G87" s="283">
        <v>1744</v>
      </c>
      <c r="H87" s="288">
        <f t="shared" si="9"/>
        <v>33391</v>
      </c>
      <c r="I87" s="294" t="e">
        <f t="shared" si="10"/>
        <v>#REF!</v>
      </c>
      <c r="J87" s="271">
        <v>3860</v>
      </c>
      <c r="K87" s="271">
        <v>5</v>
      </c>
      <c r="L87" s="271">
        <v>1608</v>
      </c>
      <c r="M87" s="271">
        <v>714</v>
      </c>
      <c r="N87" s="271">
        <v>55</v>
      </c>
      <c r="O87" s="271">
        <v>29</v>
      </c>
      <c r="P87" s="271">
        <v>1124</v>
      </c>
      <c r="R87" s="271">
        <v>459</v>
      </c>
      <c r="S87" s="271">
        <v>202</v>
      </c>
      <c r="T87" s="271">
        <v>113</v>
      </c>
    </row>
    <row r="88" spans="1:20" ht="15.75" customHeight="1">
      <c r="A88" s="290">
        <f t="shared" si="8"/>
        <v>75</v>
      </c>
      <c r="B88" s="292" t="s">
        <v>761</v>
      </c>
      <c r="C88" s="283">
        <v>38</v>
      </c>
      <c r="D88" s="283">
        <v>1200</v>
      </c>
      <c r="E88" s="283">
        <v>744</v>
      </c>
      <c r="F88" s="283">
        <v>35</v>
      </c>
      <c r="G88" s="283">
        <v>57</v>
      </c>
      <c r="H88" s="288">
        <f t="shared" si="9"/>
        <v>2074</v>
      </c>
      <c r="I88" s="294" t="e">
        <f t="shared" si="10"/>
        <v>#REF!</v>
      </c>
      <c r="J88" s="271">
        <v>242</v>
      </c>
      <c r="K88" s="271">
        <v>5</v>
      </c>
      <c r="L88" s="271">
        <v>201</v>
      </c>
      <c r="M88" s="271">
        <v>106</v>
      </c>
      <c r="N88" s="271">
        <v>11</v>
      </c>
      <c r="O88" s="271">
        <v>7</v>
      </c>
      <c r="P88" s="271">
        <v>27</v>
      </c>
      <c r="R88" s="271">
        <v>22</v>
      </c>
      <c r="S88" s="271">
        <v>12</v>
      </c>
      <c r="T88" s="271">
        <v>39</v>
      </c>
    </row>
    <row r="89" spans="1:20" ht="15.75" customHeight="1">
      <c r="A89" s="290">
        <f t="shared" si="8"/>
        <v>76</v>
      </c>
      <c r="B89" s="292" t="s">
        <v>762</v>
      </c>
      <c r="C89" s="283">
        <v>32</v>
      </c>
      <c r="D89" s="283">
        <v>875</v>
      </c>
      <c r="E89" s="283">
        <v>705</v>
      </c>
      <c r="F89" s="283">
        <v>30</v>
      </c>
      <c r="G89" s="283">
        <v>114</v>
      </c>
      <c r="H89" s="288">
        <f aca="true" t="shared" si="11" ref="H89:H95">+C89+D89+E89+F89+G89</f>
        <v>1756</v>
      </c>
      <c r="I89" s="294" t="e">
        <f t="shared" si="10"/>
        <v>#REF!</v>
      </c>
      <c r="J89" s="271">
        <v>140</v>
      </c>
      <c r="K89" s="271">
        <v>0</v>
      </c>
      <c r="L89" s="271">
        <v>186</v>
      </c>
      <c r="M89" s="271">
        <v>90</v>
      </c>
      <c r="N89" s="271">
        <v>4</v>
      </c>
      <c r="O89" s="271">
        <v>2</v>
      </c>
      <c r="P89" s="271">
        <v>15</v>
      </c>
      <c r="R89" s="271">
        <v>23</v>
      </c>
      <c r="S89" s="271">
        <v>11</v>
      </c>
      <c r="T89" s="271">
        <v>12</v>
      </c>
    </row>
    <row r="90" spans="1:20" ht="15.75" customHeight="1">
      <c r="A90" s="290">
        <f t="shared" si="8"/>
        <v>77</v>
      </c>
      <c r="B90" s="292" t="s">
        <v>763</v>
      </c>
      <c r="C90" s="283">
        <v>233</v>
      </c>
      <c r="D90" s="283">
        <v>12667</v>
      </c>
      <c r="E90" s="283">
        <v>4561</v>
      </c>
      <c r="F90" s="283">
        <v>119</v>
      </c>
      <c r="G90" s="283">
        <v>163</v>
      </c>
      <c r="H90" s="288">
        <f t="shared" si="11"/>
        <v>17743</v>
      </c>
      <c r="I90" s="294" t="e">
        <f t="shared" si="10"/>
        <v>#REF!</v>
      </c>
      <c r="J90" s="293">
        <v>1453</v>
      </c>
      <c r="K90" s="271">
        <v>29</v>
      </c>
      <c r="L90" s="295">
        <v>699</v>
      </c>
      <c r="M90" s="271">
        <v>239</v>
      </c>
      <c r="N90" s="271">
        <v>28</v>
      </c>
      <c r="O90" s="293">
        <v>9</v>
      </c>
      <c r="P90" s="293">
        <v>55</v>
      </c>
      <c r="Q90" s="293"/>
      <c r="R90" s="293">
        <v>58</v>
      </c>
      <c r="S90" s="293">
        <v>19</v>
      </c>
      <c r="T90" s="271">
        <v>23</v>
      </c>
    </row>
    <row r="91" spans="1:20" ht="15.75" customHeight="1">
      <c r="A91" s="290">
        <f t="shared" si="8"/>
        <v>78</v>
      </c>
      <c r="B91" s="292" t="s">
        <v>764</v>
      </c>
      <c r="C91" s="283">
        <v>365</v>
      </c>
      <c r="D91" s="283">
        <v>23313</v>
      </c>
      <c r="E91" s="283">
        <v>10058</v>
      </c>
      <c r="F91" s="283">
        <v>964</v>
      </c>
      <c r="G91" s="283">
        <v>738</v>
      </c>
      <c r="H91" s="288">
        <f t="shared" si="11"/>
        <v>35438</v>
      </c>
      <c r="I91" s="294" t="e">
        <f t="shared" si="10"/>
        <v>#REF!</v>
      </c>
      <c r="J91" s="293">
        <v>5175</v>
      </c>
      <c r="K91" s="271">
        <v>14</v>
      </c>
      <c r="L91" s="295">
        <v>1889</v>
      </c>
      <c r="M91" s="271">
        <v>792</v>
      </c>
      <c r="N91" s="293">
        <v>58</v>
      </c>
      <c r="O91" s="293">
        <v>27</v>
      </c>
      <c r="P91" s="293">
        <v>401</v>
      </c>
      <c r="Q91" s="293"/>
      <c r="R91" s="293">
        <v>242</v>
      </c>
      <c r="S91" s="293">
        <v>125</v>
      </c>
      <c r="T91" s="271">
        <v>86</v>
      </c>
    </row>
    <row r="92" spans="1:20" ht="15.75" customHeight="1">
      <c r="A92" s="290">
        <f t="shared" si="8"/>
        <v>79</v>
      </c>
      <c r="B92" s="292" t="s">
        <v>765</v>
      </c>
      <c r="C92" s="283">
        <v>33</v>
      </c>
      <c r="D92" s="283">
        <v>1043</v>
      </c>
      <c r="E92" s="283">
        <v>899</v>
      </c>
      <c r="F92" s="283">
        <v>23</v>
      </c>
      <c r="G92" s="283">
        <v>124</v>
      </c>
      <c r="H92" s="288">
        <f t="shared" si="11"/>
        <v>2122</v>
      </c>
      <c r="I92" s="294" t="e">
        <f t="shared" si="10"/>
        <v>#REF!</v>
      </c>
      <c r="J92" s="293">
        <v>241</v>
      </c>
      <c r="K92" s="271">
        <v>3</v>
      </c>
      <c r="L92" s="295">
        <v>189</v>
      </c>
      <c r="M92" s="271">
        <v>81</v>
      </c>
      <c r="N92" s="293">
        <v>5</v>
      </c>
      <c r="O92" s="293">
        <v>4</v>
      </c>
      <c r="P92" s="293">
        <v>29</v>
      </c>
      <c r="Q92" s="293"/>
      <c r="R92" s="293">
        <v>26</v>
      </c>
      <c r="S92" s="293">
        <v>23</v>
      </c>
      <c r="T92" s="271">
        <v>15</v>
      </c>
    </row>
    <row r="93" spans="1:20" ht="15.75" customHeight="1">
      <c r="A93" s="290">
        <f t="shared" si="8"/>
        <v>80</v>
      </c>
      <c r="B93" s="292" t="s">
        <v>766</v>
      </c>
      <c r="C93" s="283">
        <v>244</v>
      </c>
      <c r="D93" s="283">
        <v>9498</v>
      </c>
      <c r="E93" s="283">
        <v>4853</v>
      </c>
      <c r="F93" s="283">
        <v>215</v>
      </c>
      <c r="G93" s="283">
        <v>600</v>
      </c>
      <c r="H93" s="288">
        <f t="shared" si="11"/>
        <v>15410</v>
      </c>
      <c r="I93" s="294" t="e">
        <f t="shared" si="10"/>
        <v>#REF!</v>
      </c>
      <c r="J93" s="293">
        <v>1042</v>
      </c>
      <c r="K93" s="271">
        <v>4</v>
      </c>
      <c r="L93" s="295">
        <v>1066</v>
      </c>
      <c r="M93" s="271">
        <v>612</v>
      </c>
      <c r="N93" s="293">
        <v>24</v>
      </c>
      <c r="O93" s="293">
        <v>15</v>
      </c>
      <c r="P93" s="293">
        <v>138</v>
      </c>
      <c r="Q93" s="293"/>
      <c r="R93" s="293">
        <v>163</v>
      </c>
      <c r="S93" s="293">
        <v>99</v>
      </c>
      <c r="T93" s="271">
        <v>76</v>
      </c>
    </row>
    <row r="94" spans="1:19" ht="15.75" customHeight="1">
      <c r="A94" s="290">
        <f t="shared" si="8"/>
        <v>81</v>
      </c>
      <c r="B94" s="292" t="s">
        <v>767</v>
      </c>
      <c r="C94" s="283">
        <v>300</v>
      </c>
      <c r="D94" s="283">
        <v>12748</v>
      </c>
      <c r="E94" s="283">
        <v>5651</v>
      </c>
      <c r="F94" s="283">
        <v>281</v>
      </c>
      <c r="G94" s="283">
        <v>380</v>
      </c>
      <c r="H94" s="288">
        <f t="shared" si="11"/>
        <v>19360</v>
      </c>
      <c r="I94" s="294"/>
      <c r="J94" s="293"/>
      <c r="L94" s="295"/>
      <c r="N94" s="293"/>
      <c r="O94" s="293"/>
      <c r="P94" s="293"/>
      <c r="Q94" s="293"/>
      <c r="R94" s="293"/>
      <c r="S94" s="293"/>
    </row>
    <row r="95" spans="1:20" ht="15.75" customHeight="1" thickBot="1">
      <c r="A95" s="290">
        <v>90</v>
      </c>
      <c r="B95" s="292" t="s">
        <v>768</v>
      </c>
      <c r="C95" s="283">
        <v>8</v>
      </c>
      <c r="D95" s="283">
        <v>465</v>
      </c>
      <c r="E95" s="283">
        <v>237</v>
      </c>
      <c r="F95" s="283">
        <v>11</v>
      </c>
      <c r="G95" s="283">
        <v>19</v>
      </c>
      <c r="H95" s="288">
        <f t="shared" si="11"/>
        <v>740</v>
      </c>
      <c r="I95" s="294">
        <v>90</v>
      </c>
      <c r="J95" s="293">
        <v>47</v>
      </c>
      <c r="K95" s="271">
        <v>2</v>
      </c>
      <c r="L95" s="295">
        <v>40</v>
      </c>
      <c r="M95" s="296">
        <v>25</v>
      </c>
      <c r="N95" s="293">
        <v>1</v>
      </c>
      <c r="O95" s="293">
        <v>1</v>
      </c>
      <c r="P95" s="293">
        <v>3</v>
      </c>
      <c r="Q95" s="293"/>
      <c r="R95" s="293">
        <v>4</v>
      </c>
      <c r="S95" s="293">
        <v>1</v>
      </c>
      <c r="T95" s="271">
        <v>2</v>
      </c>
    </row>
    <row r="96" spans="1:31" s="304" customFormat="1" ht="15.75" customHeight="1" thickBot="1">
      <c r="A96" s="896" t="s">
        <v>802</v>
      </c>
      <c r="B96" s="897"/>
      <c r="C96" s="297">
        <f>SUM(C8:C95)</f>
        <v>64515</v>
      </c>
      <c r="D96" s="297">
        <f>SUM(D8:D95)</f>
        <v>3234422</v>
      </c>
      <c r="E96" s="297">
        <f>SUM(E8:E95)</f>
        <v>1219465</v>
      </c>
      <c r="F96" s="298">
        <f>SUM(F8:F95)</f>
        <v>55611</v>
      </c>
      <c r="G96" s="297">
        <f aca="true" t="shared" si="12" ref="G96:T96">SUM(G8:G95)</f>
        <v>73087</v>
      </c>
      <c r="H96" s="299">
        <f t="shared" si="12"/>
        <v>4647100</v>
      </c>
      <c r="I96" s="300" t="e">
        <f t="shared" si="12"/>
        <v>#REF!</v>
      </c>
      <c r="J96" s="301">
        <f t="shared" si="12"/>
        <v>426631</v>
      </c>
      <c r="K96" s="301">
        <f t="shared" si="12"/>
        <v>7766</v>
      </c>
      <c r="L96" s="301">
        <f t="shared" si="12"/>
        <v>221499</v>
      </c>
      <c r="M96" s="301">
        <f t="shared" si="12"/>
        <v>97442</v>
      </c>
      <c r="N96" s="301">
        <f t="shared" si="12"/>
        <v>7731</v>
      </c>
      <c r="O96" s="301">
        <f t="shared" si="12"/>
        <v>2912</v>
      </c>
      <c r="P96" s="301">
        <f t="shared" si="12"/>
        <v>27340</v>
      </c>
      <c r="Q96" s="301">
        <f t="shared" si="12"/>
        <v>59</v>
      </c>
      <c r="R96" s="301">
        <f t="shared" si="12"/>
        <v>19966</v>
      </c>
      <c r="S96" s="301">
        <f t="shared" si="12"/>
        <v>12969</v>
      </c>
      <c r="T96" s="301">
        <f t="shared" si="12"/>
        <v>10884</v>
      </c>
      <c r="U96" s="302"/>
      <c r="V96" s="302"/>
      <c r="W96" s="302"/>
      <c r="X96" s="302"/>
      <c r="Y96" s="302"/>
      <c r="Z96" s="302"/>
      <c r="AA96" s="302"/>
      <c r="AB96" s="303"/>
      <c r="AC96" s="303"/>
      <c r="AD96" s="303"/>
      <c r="AE96" s="303"/>
    </row>
  </sheetData>
  <mergeCells count="19">
    <mergeCell ref="A51:A54"/>
    <mergeCell ref="B51:B53"/>
    <mergeCell ref="C51:E51"/>
    <mergeCell ref="F51:G51"/>
    <mergeCell ref="C52:E52"/>
    <mergeCell ref="A96:B96"/>
    <mergeCell ref="A3:F3"/>
    <mergeCell ref="A1:H1"/>
    <mergeCell ref="A2:H2"/>
    <mergeCell ref="G3:H3"/>
    <mergeCell ref="A4:A7"/>
    <mergeCell ref="B4:B6"/>
    <mergeCell ref="C4:E4"/>
    <mergeCell ref="F4:G4"/>
    <mergeCell ref="H4:H6"/>
    <mergeCell ref="C5:E5"/>
    <mergeCell ref="F5:G5"/>
    <mergeCell ref="F52:G52"/>
    <mergeCell ref="H51:H53"/>
  </mergeCells>
  <printOptions horizontalCentered="1"/>
  <pageMargins left="0.35433070866141736" right="0.35433070866141736" top="0.5118110236220472" bottom="0" header="0.5118110236220472" footer="0"/>
  <pageSetup horizontalDpi="300" verticalDpi="3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Q46"/>
  <sheetViews>
    <sheetView showGridLines="0" workbookViewId="0" topLeftCell="I1">
      <selection activeCell="L17" sqref="L17"/>
    </sheetView>
  </sheetViews>
  <sheetFormatPr defaultColWidth="9.00390625" defaultRowHeight="12.75"/>
  <cols>
    <col min="1" max="1" width="11.875" style="114" customWidth="1"/>
    <col min="2" max="2" width="17.125" style="114" customWidth="1"/>
    <col min="3" max="3" width="3.875" style="114" customWidth="1"/>
    <col min="4" max="4" width="14.375" style="114" customWidth="1"/>
    <col min="5" max="5" width="17.00390625" style="114" customWidth="1"/>
    <col min="6" max="6" width="3.25390625" style="114" customWidth="1"/>
    <col min="7" max="7" width="10.25390625" style="114" customWidth="1"/>
    <col min="8" max="8" width="13.75390625" style="114" customWidth="1"/>
    <col min="9" max="9" width="3.00390625" style="114" customWidth="1"/>
    <col min="10" max="10" width="2.00390625" style="114" customWidth="1"/>
    <col min="11" max="11" width="10.625" style="114" customWidth="1"/>
    <col min="12" max="12" width="23.875" style="114" customWidth="1"/>
    <col min="13" max="13" width="3.375" style="114" customWidth="1"/>
    <col min="14" max="14" width="14.25390625" style="114" customWidth="1"/>
    <col min="15" max="15" width="14.75390625" style="114" customWidth="1"/>
    <col min="16" max="16" width="9.25390625" style="114" customWidth="1"/>
    <col min="17" max="17" width="14.375" style="114" customWidth="1"/>
    <col min="18" max="16384" width="9.125" style="114" customWidth="1"/>
  </cols>
  <sheetData>
    <row r="1" spans="1:17" ht="18.75">
      <c r="A1" s="622" t="s">
        <v>369</v>
      </c>
      <c r="B1" s="622"/>
      <c r="C1" s="622"/>
      <c r="D1" s="622"/>
      <c r="E1" s="622"/>
      <c r="F1" s="622"/>
      <c r="G1" s="622"/>
      <c r="H1" s="622"/>
      <c r="I1" s="622"/>
      <c r="J1" s="622"/>
      <c r="K1" s="622"/>
      <c r="L1" s="622"/>
      <c r="M1" s="622"/>
      <c r="N1" s="622"/>
      <c r="O1" s="622"/>
      <c r="P1" s="622"/>
      <c r="Q1" s="115"/>
    </row>
    <row r="2" spans="1:17" ht="13.5" thickBot="1">
      <c r="A2" s="116"/>
      <c r="B2" s="116"/>
      <c r="C2" s="116"/>
      <c r="D2" s="116"/>
      <c r="E2" s="116"/>
      <c r="F2" s="116"/>
      <c r="G2" s="116"/>
      <c r="H2" s="116"/>
      <c r="I2" s="116"/>
      <c r="J2" s="116"/>
      <c r="K2" s="116"/>
      <c r="L2" s="116"/>
      <c r="M2" s="116"/>
      <c r="N2" s="116"/>
      <c r="O2" s="116"/>
      <c r="P2" s="116"/>
      <c r="Q2" s="116"/>
    </row>
    <row r="3" spans="1:17" ht="14.25" thickBot="1" thickTop="1">
      <c r="A3" s="116"/>
      <c r="B3" s="116"/>
      <c r="C3" s="116"/>
      <c r="D3" s="116"/>
      <c r="E3" s="116"/>
      <c r="F3" s="116"/>
      <c r="G3" s="116"/>
      <c r="H3" s="117" t="s">
        <v>370</v>
      </c>
      <c r="I3" s="118"/>
      <c r="J3" s="116"/>
      <c r="K3" s="116"/>
      <c r="L3" s="116"/>
      <c r="M3" s="116"/>
      <c r="N3" s="116"/>
      <c r="O3" s="116"/>
      <c r="P3" s="116"/>
      <c r="Q3" s="116"/>
    </row>
    <row r="4" spans="1:17" ht="14.25" thickBot="1" thickTop="1">
      <c r="A4" s="116"/>
      <c r="B4" s="116"/>
      <c r="C4" s="116"/>
      <c r="D4" s="116"/>
      <c r="E4" s="116"/>
      <c r="F4" s="116"/>
      <c r="G4" s="116"/>
      <c r="H4" s="116"/>
      <c r="I4" s="116"/>
      <c r="J4" s="116"/>
      <c r="K4" s="116"/>
      <c r="L4" s="116"/>
      <c r="M4" s="116"/>
      <c r="N4" s="116"/>
      <c r="O4" s="116"/>
      <c r="P4" s="116"/>
      <c r="Q4" s="116"/>
    </row>
    <row r="5" spans="1:17" ht="14.25" thickBot="1" thickTop="1">
      <c r="A5" s="116"/>
      <c r="B5" s="116"/>
      <c r="C5" s="116"/>
      <c r="D5" s="116"/>
      <c r="E5" s="116"/>
      <c r="F5" s="116"/>
      <c r="G5" s="116"/>
      <c r="H5" s="117" t="s">
        <v>371</v>
      </c>
      <c r="I5" s="118"/>
      <c r="J5" s="116"/>
      <c r="K5" s="116"/>
      <c r="L5" s="116"/>
      <c r="M5" s="116"/>
      <c r="N5" s="116"/>
      <c r="O5" s="116"/>
      <c r="P5" s="116"/>
      <c r="Q5" s="116"/>
    </row>
    <row r="6" spans="1:17" ht="14.25" thickBot="1" thickTop="1">
      <c r="A6" s="116"/>
      <c r="B6" s="116"/>
      <c r="C6" s="116"/>
      <c r="D6" s="116"/>
      <c r="E6" s="116"/>
      <c r="F6" s="116"/>
      <c r="G6" s="116"/>
      <c r="H6" s="116"/>
      <c r="I6" s="116"/>
      <c r="J6" s="116"/>
      <c r="K6" s="116"/>
      <c r="L6" s="116"/>
      <c r="M6" s="116"/>
      <c r="N6" s="116"/>
      <c r="O6" s="116"/>
      <c r="P6" s="116"/>
      <c r="Q6" s="116"/>
    </row>
    <row r="7" spans="1:17" ht="14.25" thickBot="1" thickTop="1">
      <c r="A7" s="116"/>
      <c r="B7" s="116"/>
      <c r="C7" s="116"/>
      <c r="D7" s="116"/>
      <c r="E7" s="116"/>
      <c r="F7" s="116"/>
      <c r="G7" s="116"/>
      <c r="H7" s="117" t="s">
        <v>372</v>
      </c>
      <c r="I7" s="118"/>
      <c r="J7" s="116"/>
      <c r="K7" s="116"/>
      <c r="L7" s="119" t="s">
        <v>373</v>
      </c>
      <c r="M7" s="116"/>
      <c r="N7" s="116"/>
      <c r="O7" s="116"/>
      <c r="P7" s="116"/>
      <c r="Q7" s="116"/>
    </row>
    <row r="8" spans="1:17" ht="13.5" thickTop="1">
      <c r="A8" s="116"/>
      <c r="B8" s="116"/>
      <c r="C8" s="116"/>
      <c r="D8" s="120" t="s">
        <v>374</v>
      </c>
      <c r="E8" s="118"/>
      <c r="F8" s="118"/>
      <c r="G8" s="116"/>
      <c r="H8" s="116"/>
      <c r="I8" s="116"/>
      <c r="J8" s="116"/>
      <c r="K8" s="116"/>
      <c r="L8" s="121" t="s">
        <v>375</v>
      </c>
      <c r="M8" s="116"/>
      <c r="N8" s="116"/>
      <c r="O8" s="116"/>
      <c r="P8" s="116"/>
      <c r="Q8" s="116"/>
    </row>
    <row r="9" spans="1:17" ht="12.75">
      <c r="A9" s="116"/>
      <c r="B9" s="116"/>
      <c r="C9" s="116"/>
      <c r="D9" s="121" t="s">
        <v>376</v>
      </c>
      <c r="E9" s="118"/>
      <c r="F9" s="118"/>
      <c r="G9" s="116"/>
      <c r="H9" s="116"/>
      <c r="I9" s="116"/>
      <c r="J9" s="116"/>
      <c r="K9" s="116"/>
      <c r="L9" s="121" t="s">
        <v>377</v>
      </c>
      <c r="M9" s="116"/>
      <c r="N9" s="116"/>
      <c r="O9" s="116"/>
      <c r="P9" s="116"/>
      <c r="Q9" s="116"/>
    </row>
    <row r="10" spans="1:17" ht="13.5" thickBot="1">
      <c r="A10" s="116"/>
      <c r="B10" s="116"/>
      <c r="C10" s="116"/>
      <c r="D10" s="122" t="s">
        <v>378</v>
      </c>
      <c r="E10" s="118"/>
      <c r="F10" s="118"/>
      <c r="G10" s="116"/>
      <c r="H10" s="116"/>
      <c r="I10" s="116"/>
      <c r="J10" s="116"/>
      <c r="K10" s="116"/>
      <c r="L10" s="122" t="s">
        <v>379</v>
      </c>
      <c r="M10" s="116"/>
      <c r="N10" s="116"/>
      <c r="O10" s="116"/>
      <c r="P10" s="116"/>
      <c r="Q10" s="116"/>
    </row>
    <row r="11" spans="1:17" ht="13.5" thickTop="1">
      <c r="A11" s="116"/>
      <c r="B11" s="116"/>
      <c r="C11" s="116"/>
      <c r="D11" s="118"/>
      <c r="E11" s="118"/>
      <c r="F11" s="118"/>
      <c r="G11" s="116"/>
      <c r="H11" s="116"/>
      <c r="I11" s="116"/>
      <c r="J11" s="116"/>
      <c r="K11" s="116"/>
      <c r="L11" s="118"/>
      <c r="M11" s="116"/>
      <c r="N11" s="116"/>
      <c r="O11" s="116"/>
      <c r="P11" s="116"/>
      <c r="Q11" s="116"/>
    </row>
    <row r="12" spans="1:17" ht="13.5" thickBot="1">
      <c r="A12" s="116"/>
      <c r="B12" s="116"/>
      <c r="C12" s="116"/>
      <c r="D12" s="116"/>
      <c r="E12" s="116"/>
      <c r="F12" s="116"/>
      <c r="G12" s="116"/>
      <c r="H12" s="116"/>
      <c r="I12" s="116"/>
      <c r="J12" s="116"/>
      <c r="K12" s="116"/>
      <c r="L12" s="116"/>
      <c r="M12" s="116"/>
      <c r="N12" s="116"/>
      <c r="O12" s="116"/>
      <c r="P12" s="116"/>
      <c r="Q12" s="116"/>
    </row>
    <row r="13" spans="1:17" ht="12.75">
      <c r="A13" s="116"/>
      <c r="B13" s="116"/>
      <c r="C13" s="116"/>
      <c r="D13" s="123" t="s">
        <v>380</v>
      </c>
      <c r="E13" s="118"/>
      <c r="F13" s="118"/>
      <c r="G13" s="116"/>
      <c r="H13" s="116"/>
      <c r="I13" s="116"/>
      <c r="J13" s="116"/>
      <c r="K13" s="116"/>
      <c r="L13" s="116"/>
      <c r="M13" s="116"/>
      <c r="N13" s="123" t="s">
        <v>381</v>
      </c>
      <c r="O13" s="116"/>
      <c r="P13" s="116"/>
      <c r="Q13" s="116"/>
    </row>
    <row r="14" spans="1:17" ht="13.5" thickBot="1">
      <c r="A14" s="116"/>
      <c r="B14" s="116"/>
      <c r="C14" s="116"/>
      <c r="D14" s="124" t="s">
        <v>382</v>
      </c>
      <c r="E14" s="118"/>
      <c r="F14" s="118"/>
      <c r="G14" s="116"/>
      <c r="H14" s="116"/>
      <c r="I14" s="116"/>
      <c r="J14" s="116"/>
      <c r="K14" s="116"/>
      <c r="L14" s="116"/>
      <c r="M14" s="116"/>
      <c r="N14" s="124" t="s">
        <v>382</v>
      </c>
      <c r="O14" s="116"/>
      <c r="P14" s="116"/>
      <c r="Q14" s="116"/>
    </row>
    <row r="15" spans="1:17" ht="13.5" thickBot="1">
      <c r="A15" s="116"/>
      <c r="B15" s="116"/>
      <c r="C15" s="116"/>
      <c r="D15" s="116"/>
      <c r="E15" s="116"/>
      <c r="F15" s="116"/>
      <c r="G15" s="116"/>
      <c r="H15" s="116"/>
      <c r="I15" s="116"/>
      <c r="J15" s="116"/>
      <c r="K15" s="116"/>
      <c r="L15" s="116"/>
      <c r="M15" s="116"/>
      <c r="N15" s="116"/>
      <c r="O15" s="116"/>
      <c r="P15" s="116"/>
      <c r="Q15" s="116"/>
    </row>
    <row r="16" spans="1:17" ht="13.5" thickBot="1">
      <c r="A16" s="116"/>
      <c r="B16" s="125" t="s">
        <v>383</v>
      </c>
      <c r="C16" s="116"/>
      <c r="D16" s="125" t="s">
        <v>384</v>
      </c>
      <c r="E16" s="118"/>
      <c r="F16" s="118"/>
      <c r="G16" s="116"/>
      <c r="H16" s="116"/>
      <c r="I16" s="116"/>
      <c r="J16" s="116"/>
      <c r="K16" s="116"/>
      <c r="L16" s="116"/>
      <c r="M16" s="116"/>
      <c r="N16" s="125" t="s">
        <v>384</v>
      </c>
      <c r="O16" s="116"/>
      <c r="P16" s="116"/>
      <c r="Q16" s="116"/>
    </row>
    <row r="17" spans="1:17" ht="13.5" thickBot="1">
      <c r="A17" s="116"/>
      <c r="B17" s="118"/>
      <c r="C17" s="116"/>
      <c r="D17" s="118"/>
      <c r="E17" s="118"/>
      <c r="F17" s="118"/>
      <c r="G17" s="116"/>
      <c r="H17" s="116"/>
      <c r="I17" s="116"/>
      <c r="J17" s="116"/>
      <c r="K17" s="116"/>
      <c r="L17" s="116"/>
      <c r="M17" s="116"/>
      <c r="N17" s="118"/>
      <c r="O17" s="116"/>
      <c r="P17" s="116"/>
      <c r="Q17" s="116"/>
    </row>
    <row r="18" spans="1:17" ht="12.75">
      <c r="A18" s="116"/>
      <c r="B18" s="118"/>
      <c r="C18" s="116"/>
      <c r="D18" s="118"/>
      <c r="E18" s="118"/>
      <c r="F18" s="118"/>
      <c r="G18" s="116"/>
      <c r="H18" s="116"/>
      <c r="I18" s="116"/>
      <c r="J18" s="116"/>
      <c r="K18" s="116"/>
      <c r="L18" s="116"/>
      <c r="M18" s="116"/>
      <c r="N18" s="118"/>
      <c r="O18" s="123" t="s">
        <v>385</v>
      </c>
      <c r="P18" s="116"/>
      <c r="Q18" s="116"/>
    </row>
    <row r="19" spans="1:17" ht="13.5" thickBot="1">
      <c r="A19" s="116"/>
      <c r="B19" s="116"/>
      <c r="C19" s="116"/>
      <c r="D19" s="126"/>
      <c r="E19" s="126"/>
      <c r="F19" s="126"/>
      <c r="G19" s="116"/>
      <c r="H19" s="116"/>
      <c r="I19" s="116"/>
      <c r="J19" s="116"/>
      <c r="K19" s="126"/>
      <c r="L19" s="116"/>
      <c r="M19" s="116"/>
      <c r="N19" s="116"/>
      <c r="O19" s="124" t="s">
        <v>386</v>
      </c>
      <c r="P19" s="116"/>
      <c r="Q19" s="116"/>
    </row>
    <row r="20" spans="1:17" ht="13.5" thickBot="1">
      <c r="A20" s="116"/>
      <c r="B20" s="116"/>
      <c r="C20" s="116"/>
      <c r="D20" s="126"/>
      <c r="E20" s="126"/>
      <c r="F20" s="126"/>
      <c r="G20" s="116"/>
      <c r="H20" s="116"/>
      <c r="I20" s="116"/>
      <c r="J20" s="116"/>
      <c r="K20" s="126"/>
      <c r="L20" s="116"/>
      <c r="M20" s="116"/>
      <c r="N20" s="116"/>
      <c r="O20" s="116"/>
      <c r="P20" s="116"/>
      <c r="Q20" s="116"/>
    </row>
    <row r="21" spans="1:17" ht="12.75">
      <c r="A21" s="123" t="s">
        <v>387</v>
      </c>
      <c r="B21" s="116"/>
      <c r="C21" s="116"/>
      <c r="D21" s="123" t="s">
        <v>387</v>
      </c>
      <c r="E21" s="116"/>
      <c r="F21" s="116"/>
      <c r="G21" s="123" t="s">
        <v>387</v>
      </c>
      <c r="H21" s="118"/>
      <c r="I21" s="116"/>
      <c r="J21" s="116"/>
      <c r="K21" s="123" t="s">
        <v>387</v>
      </c>
      <c r="L21" s="116"/>
      <c r="M21" s="116"/>
      <c r="N21" s="123" t="s">
        <v>387</v>
      </c>
      <c r="O21" s="116"/>
      <c r="P21" s="127" t="s">
        <v>387</v>
      </c>
      <c r="Q21" s="116"/>
    </row>
    <row r="22" spans="1:17" ht="13.5" thickBot="1">
      <c r="A22" s="124" t="s">
        <v>388</v>
      </c>
      <c r="B22" s="116"/>
      <c r="C22" s="116"/>
      <c r="D22" s="124" t="s">
        <v>388</v>
      </c>
      <c r="E22" s="116"/>
      <c r="F22" s="116"/>
      <c r="G22" s="124" t="s">
        <v>388</v>
      </c>
      <c r="H22" s="118"/>
      <c r="I22" s="116"/>
      <c r="J22" s="116"/>
      <c r="K22" s="124" t="s">
        <v>388</v>
      </c>
      <c r="L22" s="116"/>
      <c r="M22" s="116"/>
      <c r="N22" s="124" t="s">
        <v>388</v>
      </c>
      <c r="O22" s="116"/>
      <c r="P22" s="124" t="s">
        <v>388</v>
      </c>
      <c r="Q22" s="116"/>
    </row>
    <row r="23" spans="1:17" ht="13.5" thickBot="1">
      <c r="A23" s="116"/>
      <c r="B23" s="116"/>
      <c r="C23" s="116"/>
      <c r="D23" s="116"/>
      <c r="E23" s="116"/>
      <c r="F23" s="116"/>
      <c r="G23" s="116"/>
      <c r="H23" s="116"/>
      <c r="I23" s="116"/>
      <c r="J23" s="116"/>
      <c r="K23" s="116"/>
      <c r="L23" s="116"/>
      <c r="M23" s="116"/>
      <c r="N23" s="116"/>
      <c r="O23" s="116"/>
      <c r="P23" s="116"/>
      <c r="Q23" s="116"/>
    </row>
    <row r="24" spans="1:17" ht="13.5" thickBot="1">
      <c r="A24" s="116"/>
      <c r="B24" s="125" t="s">
        <v>389</v>
      </c>
      <c r="C24" s="126"/>
      <c r="D24" s="116"/>
      <c r="E24" s="125" t="s">
        <v>390</v>
      </c>
      <c r="F24" s="118"/>
      <c r="G24" s="128"/>
      <c r="H24" s="125" t="s">
        <v>391</v>
      </c>
      <c r="I24" s="116"/>
      <c r="J24" s="116"/>
      <c r="K24" s="116"/>
      <c r="L24" s="118" t="s">
        <v>107</v>
      </c>
      <c r="M24" s="116"/>
      <c r="N24" s="116"/>
      <c r="O24" s="123" t="s">
        <v>392</v>
      </c>
      <c r="P24" s="116"/>
      <c r="Q24" s="125" t="s">
        <v>393</v>
      </c>
    </row>
    <row r="25" spans="1:17" ht="13.5" thickBot="1">
      <c r="A25" s="116"/>
      <c r="B25" s="118" t="s">
        <v>394</v>
      </c>
      <c r="C25" s="126"/>
      <c r="D25" s="116"/>
      <c r="E25" s="116"/>
      <c r="F25" s="116"/>
      <c r="G25" s="128"/>
      <c r="H25" s="118" t="s">
        <v>107</v>
      </c>
      <c r="I25" s="116"/>
      <c r="J25" s="116"/>
      <c r="K25" s="116"/>
      <c r="L25" s="125" t="s">
        <v>395</v>
      </c>
      <c r="M25" s="116"/>
      <c r="N25" s="116"/>
      <c r="O25" s="124" t="s">
        <v>396</v>
      </c>
      <c r="P25" s="116"/>
      <c r="Q25" s="116"/>
    </row>
    <row r="26" spans="1:17" ht="13.5" thickBot="1">
      <c r="A26" s="116"/>
      <c r="B26" s="116"/>
      <c r="C26" s="116"/>
      <c r="D26" s="116"/>
      <c r="E26" s="116"/>
      <c r="F26" s="116"/>
      <c r="G26" s="116"/>
      <c r="H26" s="118"/>
      <c r="I26" s="116"/>
      <c r="J26" s="116"/>
      <c r="K26" s="116"/>
      <c r="L26" s="116"/>
      <c r="M26" s="116"/>
      <c r="N26" s="116"/>
      <c r="O26" s="116"/>
      <c r="P26" s="116"/>
      <c r="Q26" s="116"/>
    </row>
    <row r="27" spans="1:17" ht="13.5" thickBot="1">
      <c r="A27" s="116"/>
      <c r="B27" s="125" t="s">
        <v>397</v>
      </c>
      <c r="C27" s="126"/>
      <c r="D27" s="116"/>
      <c r="E27" s="123" t="s">
        <v>398</v>
      </c>
      <c r="F27" s="118"/>
      <c r="G27" s="116"/>
      <c r="H27" s="118"/>
      <c r="I27" s="116"/>
      <c r="J27" s="116"/>
      <c r="K27" s="116"/>
      <c r="L27" s="118" t="s">
        <v>107</v>
      </c>
      <c r="M27" s="116"/>
      <c r="N27" s="116"/>
      <c r="O27" s="118"/>
      <c r="P27" s="116"/>
      <c r="Q27" s="123" t="s">
        <v>399</v>
      </c>
    </row>
    <row r="28" spans="1:17" ht="13.5" thickBot="1">
      <c r="A28" s="116"/>
      <c r="B28" s="116"/>
      <c r="C28" s="116"/>
      <c r="D28" s="116"/>
      <c r="E28" s="124" t="s">
        <v>400</v>
      </c>
      <c r="F28" s="118"/>
      <c r="G28" s="116"/>
      <c r="H28" s="118"/>
      <c r="I28" s="116"/>
      <c r="J28" s="116"/>
      <c r="K28" s="116"/>
      <c r="L28" s="116"/>
      <c r="M28" s="116"/>
      <c r="N28" s="116"/>
      <c r="O28" s="118"/>
      <c r="P28" s="116"/>
      <c r="Q28" s="124" t="s">
        <v>401</v>
      </c>
    </row>
    <row r="29" spans="1:17" ht="12.75">
      <c r="A29" s="116"/>
      <c r="B29" s="123" t="s">
        <v>402</v>
      </c>
      <c r="C29" s="126"/>
      <c r="D29" s="116"/>
      <c r="E29" s="116"/>
      <c r="F29" s="116"/>
      <c r="G29" s="116"/>
      <c r="H29" s="116"/>
      <c r="I29" s="116"/>
      <c r="J29" s="116"/>
      <c r="K29" s="116"/>
      <c r="L29" s="123" t="s">
        <v>403</v>
      </c>
      <c r="M29" s="116"/>
      <c r="N29" s="116"/>
      <c r="O29" s="128"/>
      <c r="P29" s="116"/>
      <c r="Q29" s="116"/>
    </row>
    <row r="30" spans="1:17" ht="13.5" thickBot="1">
      <c r="A30" s="116"/>
      <c r="B30" s="124" t="s">
        <v>404</v>
      </c>
      <c r="C30" s="116"/>
      <c r="D30" s="116"/>
      <c r="E30" s="116"/>
      <c r="F30" s="116"/>
      <c r="G30" s="116"/>
      <c r="H30" s="116"/>
      <c r="I30" s="116"/>
      <c r="J30" s="116"/>
      <c r="K30" s="116"/>
      <c r="L30" s="124" t="s">
        <v>405</v>
      </c>
      <c r="M30" s="116"/>
      <c r="N30" s="116"/>
      <c r="O30" s="128"/>
      <c r="P30" s="116"/>
      <c r="Q30" s="116"/>
    </row>
    <row r="31" spans="1:17" ht="16.5" customHeight="1">
      <c r="A31" s="116"/>
      <c r="B31" s="118"/>
      <c r="C31" s="126"/>
      <c r="D31" s="116"/>
      <c r="E31" s="118"/>
      <c r="F31" s="118"/>
      <c r="G31" s="116"/>
      <c r="H31" s="129"/>
      <c r="I31" s="116"/>
      <c r="J31" s="116"/>
      <c r="K31" s="116"/>
      <c r="L31" s="118"/>
      <c r="M31" s="116"/>
      <c r="N31" s="116"/>
      <c r="O31" s="118"/>
      <c r="P31" s="116"/>
      <c r="Q31" s="118"/>
    </row>
    <row r="32" spans="1:17" ht="12.75">
      <c r="A32" s="116"/>
      <c r="B32" s="118"/>
      <c r="C32" s="126"/>
      <c r="D32" s="130"/>
      <c r="E32" s="116"/>
      <c r="F32" s="116"/>
      <c r="G32" s="116"/>
      <c r="H32" s="116"/>
      <c r="I32" s="116"/>
      <c r="J32" s="116"/>
      <c r="K32" s="116"/>
      <c r="L32" s="118"/>
      <c r="M32" s="116"/>
      <c r="N32" s="116"/>
      <c r="O32" s="118"/>
      <c r="P32" s="116"/>
      <c r="Q32" s="118"/>
    </row>
    <row r="33" spans="1:17" ht="12.75">
      <c r="A33" s="116"/>
      <c r="B33" s="116"/>
      <c r="C33" s="116"/>
      <c r="D33" s="116"/>
      <c r="E33" s="116"/>
      <c r="F33" s="116"/>
      <c r="G33" s="116"/>
      <c r="H33" s="116"/>
      <c r="I33" s="116"/>
      <c r="J33" s="116"/>
      <c r="K33" s="116"/>
      <c r="L33" s="118" t="s">
        <v>107</v>
      </c>
      <c r="M33" s="116"/>
      <c r="N33" s="116"/>
      <c r="O33" s="128"/>
      <c r="P33" s="116"/>
      <c r="Q33" s="116"/>
    </row>
    <row r="34" spans="1:17" ht="12.75">
      <c r="A34" s="116"/>
      <c r="B34" s="116"/>
      <c r="C34" s="116"/>
      <c r="D34" s="116"/>
      <c r="E34" s="116"/>
      <c r="F34" s="116"/>
      <c r="G34" s="116"/>
      <c r="H34" s="116"/>
      <c r="I34" s="116"/>
      <c r="J34" s="116"/>
      <c r="K34" s="116"/>
      <c r="L34" s="118" t="s">
        <v>107</v>
      </c>
      <c r="M34" s="116"/>
      <c r="N34" s="116"/>
      <c r="O34" s="118"/>
      <c r="P34" s="116"/>
      <c r="Q34" s="116"/>
    </row>
    <row r="35" spans="1:17" ht="12.75">
      <c r="A35" s="116"/>
      <c r="B35" s="116"/>
      <c r="C35" s="116"/>
      <c r="D35" s="116"/>
      <c r="E35" s="116"/>
      <c r="F35" s="116"/>
      <c r="G35" s="116"/>
      <c r="H35" s="116"/>
      <c r="I35" s="116"/>
      <c r="J35" s="116"/>
      <c r="K35" s="116"/>
      <c r="L35" s="116" t="s">
        <v>107</v>
      </c>
      <c r="M35" s="116"/>
      <c r="N35" s="116"/>
      <c r="O35" s="118"/>
      <c r="P35" s="116"/>
      <c r="Q35" s="116"/>
    </row>
    <row r="36" spans="1:17" ht="12.75">
      <c r="A36" s="116"/>
      <c r="B36" s="128" t="s">
        <v>107</v>
      </c>
      <c r="C36" s="116"/>
      <c r="D36" s="116"/>
      <c r="E36" s="116"/>
      <c r="F36" s="116"/>
      <c r="G36" s="116"/>
      <c r="H36" s="116"/>
      <c r="I36" s="116"/>
      <c r="J36" s="116"/>
      <c r="K36" s="116"/>
      <c r="L36" s="116"/>
      <c r="M36" s="116"/>
      <c r="N36" s="116"/>
      <c r="O36" s="116"/>
      <c r="P36" s="116"/>
      <c r="Q36" s="116"/>
    </row>
    <row r="37" spans="1:17" ht="12.75">
      <c r="A37" s="116"/>
      <c r="B37" s="116"/>
      <c r="C37" s="116"/>
      <c r="D37" s="116"/>
      <c r="E37" s="116"/>
      <c r="F37" s="116"/>
      <c r="G37" s="116"/>
      <c r="H37" s="116"/>
      <c r="I37" s="116"/>
      <c r="J37" s="116"/>
      <c r="K37" s="116"/>
      <c r="L37" s="116"/>
      <c r="M37" s="116"/>
      <c r="N37" s="116"/>
      <c r="O37" s="116"/>
      <c r="P37" s="116"/>
      <c r="Q37" s="116"/>
    </row>
    <row r="38" spans="1:17" ht="18.75">
      <c r="A38" s="131" t="s">
        <v>107</v>
      </c>
      <c r="B38" s="132"/>
      <c r="C38" s="132"/>
      <c r="D38" s="132"/>
      <c r="E38" s="132"/>
      <c r="F38" s="132"/>
      <c r="G38" s="132"/>
      <c r="H38" s="116"/>
      <c r="I38" s="116"/>
      <c r="J38" s="116"/>
      <c r="K38" s="116"/>
      <c r="L38" s="116"/>
      <c r="M38" s="116"/>
      <c r="N38" s="116"/>
      <c r="O38" s="116"/>
      <c r="P38" s="116"/>
      <c r="Q38" s="116"/>
    </row>
    <row r="39" spans="1:17" ht="12.75">
      <c r="A39" s="116"/>
      <c r="B39" s="116"/>
      <c r="C39" s="116"/>
      <c r="D39" s="116"/>
      <c r="E39" s="116"/>
      <c r="F39" s="116"/>
      <c r="G39" s="116"/>
      <c r="H39" s="116"/>
      <c r="I39" s="116"/>
      <c r="J39" s="116"/>
      <c r="K39" s="116"/>
      <c r="L39" s="116"/>
      <c r="M39" s="116"/>
      <c r="N39" s="116"/>
      <c r="O39" s="116"/>
      <c r="P39" s="116"/>
      <c r="Q39" s="116"/>
    </row>
    <row r="40" spans="1:17" ht="12.75">
      <c r="A40" s="116"/>
      <c r="B40" s="116"/>
      <c r="C40" s="116"/>
      <c r="D40" s="116"/>
      <c r="E40" s="116"/>
      <c r="F40" s="116"/>
      <c r="G40" s="116"/>
      <c r="H40" s="116"/>
      <c r="I40" s="116"/>
      <c r="J40" s="116"/>
      <c r="K40" s="116"/>
      <c r="L40" s="116"/>
      <c r="M40" s="116"/>
      <c r="N40" s="116"/>
      <c r="O40" s="116"/>
      <c r="P40" s="116"/>
      <c r="Q40" s="116"/>
    </row>
    <row r="41" spans="1:17" ht="13.5" thickBot="1">
      <c r="A41" s="116"/>
      <c r="B41" s="116"/>
      <c r="C41" s="116"/>
      <c r="D41" s="116"/>
      <c r="E41" s="116"/>
      <c r="F41" s="116"/>
      <c r="G41" s="116"/>
      <c r="H41" s="116"/>
      <c r="I41" s="116"/>
      <c r="J41" s="116"/>
      <c r="K41" s="116"/>
      <c r="L41" s="116"/>
      <c r="M41" s="116"/>
      <c r="N41" s="116"/>
      <c r="O41" s="116"/>
      <c r="P41" s="116"/>
      <c r="Q41" s="116"/>
    </row>
    <row r="42" spans="1:17" ht="13.5" thickBot="1">
      <c r="A42" s="116"/>
      <c r="B42" s="116"/>
      <c r="C42" s="618" t="s">
        <v>406</v>
      </c>
      <c r="D42" s="619"/>
      <c r="E42" s="116"/>
      <c r="F42" s="116"/>
      <c r="G42" s="116"/>
      <c r="H42" s="116"/>
      <c r="I42" s="116"/>
      <c r="J42" s="116"/>
      <c r="K42" s="116"/>
      <c r="L42" s="116"/>
      <c r="M42" s="116"/>
      <c r="N42" s="125" t="s">
        <v>406</v>
      </c>
      <c r="O42" s="116"/>
      <c r="P42" s="116"/>
      <c r="Q42" s="116"/>
    </row>
    <row r="43" spans="1:17" ht="12.75">
      <c r="A43" s="116"/>
      <c r="B43" s="116"/>
      <c r="C43" s="116"/>
      <c r="D43" s="133"/>
      <c r="E43" s="116"/>
      <c r="F43" s="116"/>
      <c r="G43" s="116"/>
      <c r="H43" s="116"/>
      <c r="I43" s="116"/>
      <c r="J43" s="116"/>
      <c r="K43" s="116"/>
      <c r="L43" s="116"/>
      <c r="M43" s="116"/>
      <c r="N43" s="118" t="s">
        <v>107</v>
      </c>
      <c r="O43" s="116"/>
      <c r="P43" s="116"/>
      <c r="Q43" s="116"/>
    </row>
    <row r="44" spans="1:17" ht="12.75">
      <c r="A44" s="620" t="s">
        <v>407</v>
      </c>
      <c r="B44" s="621"/>
      <c r="C44" s="621"/>
      <c r="D44" s="621"/>
      <c r="E44" s="116"/>
      <c r="F44" s="116"/>
      <c r="G44" s="116"/>
      <c r="H44" s="116"/>
      <c r="I44" s="116"/>
      <c r="J44" s="116"/>
      <c r="K44" s="128"/>
      <c r="L44" s="128"/>
      <c r="M44" s="116"/>
      <c r="N44" s="116"/>
      <c r="O44" s="116"/>
      <c r="P44" s="116"/>
      <c r="Q44" s="116"/>
    </row>
    <row r="45" spans="1:17" ht="12.75">
      <c r="A45" s="620" t="s">
        <v>408</v>
      </c>
      <c r="B45" s="621"/>
      <c r="C45" s="621"/>
      <c r="D45" s="621"/>
      <c r="E45" s="116"/>
      <c r="F45" s="116"/>
      <c r="G45" s="116"/>
      <c r="H45" s="116"/>
      <c r="I45" s="116"/>
      <c r="J45" s="116"/>
      <c r="K45" s="128"/>
      <c r="L45" s="128"/>
      <c r="M45" s="116"/>
      <c r="N45" s="118" t="s">
        <v>107</v>
      </c>
      <c r="O45" s="116"/>
      <c r="P45" s="116"/>
      <c r="Q45" s="116"/>
    </row>
    <row r="46" spans="1:17" ht="12.75">
      <c r="A46" s="620" t="s">
        <v>409</v>
      </c>
      <c r="B46" s="621"/>
      <c r="C46" s="621"/>
      <c r="D46" s="621"/>
      <c r="E46" s="116"/>
      <c r="F46" s="116"/>
      <c r="G46" s="116"/>
      <c r="H46" s="116"/>
      <c r="I46" s="116"/>
      <c r="J46" s="116"/>
      <c r="K46" s="116"/>
      <c r="L46" s="116"/>
      <c r="M46" s="116"/>
      <c r="N46" s="116"/>
      <c r="O46" s="116"/>
      <c r="P46" s="116"/>
      <c r="Q46" s="116"/>
    </row>
  </sheetData>
  <mergeCells count="5">
    <mergeCell ref="A46:D46"/>
    <mergeCell ref="A1:P1"/>
    <mergeCell ref="C42:D42"/>
    <mergeCell ref="A44:D44"/>
    <mergeCell ref="A45:D45"/>
  </mergeCells>
  <printOptions/>
  <pageMargins left="0.7480314960629921" right="0.15748031496062992" top="0.984251968503937" bottom="0.984251968503937" header="0.5118110236220472" footer="0.5118110236220472"/>
  <pageSetup horizontalDpi="300" verticalDpi="300" orientation="landscape" paperSize="9" scale="70"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2:F12"/>
  <sheetViews>
    <sheetView showGridLines="0" workbookViewId="0" topLeftCell="A1">
      <selection activeCell="A7" sqref="A7:F7"/>
    </sheetView>
  </sheetViews>
  <sheetFormatPr defaultColWidth="9.00390625" defaultRowHeight="12.75"/>
  <cols>
    <col min="1" max="4" width="9.125" style="13" customWidth="1"/>
    <col min="5" max="5" width="14.125" style="13" customWidth="1"/>
    <col min="6" max="6" width="33.875" style="13" customWidth="1"/>
    <col min="7" max="16384" width="9.125" style="13" customWidth="1"/>
  </cols>
  <sheetData>
    <row r="2" spans="1:6" ht="20.25" customHeight="1">
      <c r="A2" s="610" t="s">
        <v>448</v>
      </c>
      <c r="B2" s="611"/>
      <c r="C2" s="611"/>
      <c r="D2" s="611"/>
      <c r="E2" s="611"/>
      <c r="F2" s="611"/>
    </row>
    <row r="3" spans="1:6" ht="13.5" customHeight="1">
      <c r="A3" s="110"/>
      <c r="B3" s="113"/>
      <c r="C3" s="113"/>
      <c r="D3" s="113"/>
      <c r="E3" s="113"/>
      <c r="F3" s="113"/>
    </row>
    <row r="4" spans="1:6" ht="18.75" customHeight="1" thickBot="1">
      <c r="A4" s="609" t="s">
        <v>364</v>
      </c>
      <c r="B4" s="609"/>
      <c r="C4" s="609"/>
      <c r="D4" s="609"/>
      <c r="E4" s="609"/>
      <c r="F4" s="609"/>
    </row>
    <row r="5" spans="1:6" ht="60" customHeight="1" thickTop="1">
      <c r="A5" s="264" t="s">
        <v>362</v>
      </c>
      <c r="B5" s="265"/>
      <c r="C5" s="265"/>
      <c r="D5" s="265"/>
      <c r="E5" s="265"/>
      <c r="F5" s="266"/>
    </row>
    <row r="6" spans="1:6" ht="60" customHeight="1">
      <c r="A6" s="615" t="s">
        <v>365</v>
      </c>
      <c r="B6" s="616"/>
      <c r="C6" s="616"/>
      <c r="D6" s="616"/>
      <c r="E6" s="616"/>
      <c r="F6" s="617"/>
    </row>
    <row r="7" spans="1:6" ht="60" customHeight="1">
      <c r="A7" s="615" t="s">
        <v>796</v>
      </c>
      <c r="B7" s="616"/>
      <c r="C7" s="616"/>
      <c r="D7" s="616"/>
      <c r="E7" s="616"/>
      <c r="F7" s="617"/>
    </row>
    <row r="8" spans="1:6" ht="53.25" customHeight="1">
      <c r="A8" s="615" t="s">
        <v>366</v>
      </c>
      <c r="B8" s="616"/>
      <c r="C8" s="616"/>
      <c r="D8" s="616"/>
      <c r="E8" s="616"/>
      <c r="F8" s="617"/>
    </row>
    <row r="9" spans="1:6" ht="60" customHeight="1">
      <c r="A9" s="267" t="s">
        <v>363</v>
      </c>
      <c r="B9" s="268"/>
      <c r="C9" s="268"/>
      <c r="D9" s="268"/>
      <c r="E9" s="268"/>
      <c r="F9" s="269"/>
    </row>
    <row r="10" spans="1:6" ht="60" customHeight="1">
      <c r="A10" s="615" t="s">
        <v>367</v>
      </c>
      <c r="B10" s="616"/>
      <c r="C10" s="616"/>
      <c r="D10" s="616"/>
      <c r="E10" s="616"/>
      <c r="F10" s="617"/>
    </row>
    <row r="11" spans="1:6" ht="60" customHeight="1">
      <c r="A11" s="615" t="s">
        <v>775</v>
      </c>
      <c r="B11" s="616"/>
      <c r="C11" s="616"/>
      <c r="D11" s="616"/>
      <c r="E11" s="616"/>
      <c r="F11" s="617"/>
    </row>
    <row r="12" spans="1:6" ht="60" customHeight="1" thickBot="1">
      <c r="A12" s="612" t="s">
        <v>368</v>
      </c>
      <c r="B12" s="613"/>
      <c r="C12" s="613"/>
      <c r="D12" s="613"/>
      <c r="E12" s="613"/>
      <c r="F12" s="614"/>
    </row>
    <row r="13" ht="16.5" thickTop="1"/>
  </sheetData>
  <mergeCells count="8">
    <mergeCell ref="A2:F2"/>
    <mergeCell ref="A4:F4"/>
    <mergeCell ref="A6:F6"/>
    <mergeCell ref="A7:F7"/>
    <mergeCell ref="A12:F12"/>
    <mergeCell ref="A8:F8"/>
    <mergeCell ref="A10:F10"/>
    <mergeCell ref="A11:F11"/>
  </mergeCells>
  <printOptions/>
  <pageMargins left="0.75" right="0.75" top="1" bottom="1" header="0.5" footer="0.5"/>
  <pageSetup horizontalDpi="300" verticalDpi="300" orientation="portrait" paperSize="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tabColor indexed="39"/>
  </sheetPr>
  <dimension ref="A1:E33"/>
  <sheetViews>
    <sheetView showGridLines="0" workbookViewId="0" topLeftCell="A28">
      <selection activeCell="D33" sqref="D33:E33"/>
    </sheetView>
  </sheetViews>
  <sheetFormatPr defaultColWidth="9.00390625" defaultRowHeight="12.75"/>
  <cols>
    <col min="1" max="1" width="22.75390625" style="1" customWidth="1"/>
    <col min="2" max="2" width="15.75390625" style="1" customWidth="1"/>
    <col min="3" max="3" width="13.875" style="1" customWidth="1"/>
    <col min="4" max="4" width="15.75390625" style="1" customWidth="1"/>
    <col min="5" max="5" width="14.625" style="1" customWidth="1"/>
    <col min="6" max="16384" width="9.125" style="1" customWidth="1"/>
  </cols>
  <sheetData>
    <row r="1" spans="1:5" ht="18.75">
      <c r="A1" s="650" t="s">
        <v>449</v>
      </c>
      <c r="B1" s="611"/>
      <c r="C1" s="611"/>
      <c r="D1" s="611"/>
      <c r="E1" s="611"/>
    </row>
    <row r="2" spans="1:5" ht="15.75">
      <c r="A2" s="651" t="s">
        <v>319</v>
      </c>
      <c r="B2" s="651"/>
      <c r="C2" s="651"/>
      <c r="D2" s="651"/>
      <c r="E2" s="651"/>
    </row>
    <row r="3" spans="1:5" ht="16.5" thickBot="1">
      <c r="A3" s="652" t="s">
        <v>87</v>
      </c>
      <c r="B3" s="652"/>
      <c r="C3" s="652"/>
      <c r="D3" s="652"/>
      <c r="E3" s="652"/>
    </row>
    <row r="4" spans="1:5" ht="20.25" customHeight="1" thickTop="1">
      <c r="A4" s="320"/>
      <c r="B4" s="647" t="s">
        <v>81</v>
      </c>
      <c r="C4" s="648"/>
      <c r="D4" s="647" t="s">
        <v>82</v>
      </c>
      <c r="E4" s="649"/>
    </row>
    <row r="5" spans="1:5" ht="15.75" customHeight="1">
      <c r="A5" s="314" t="s">
        <v>83</v>
      </c>
      <c r="B5" s="607">
        <f>18614+5688</f>
        <v>24302</v>
      </c>
      <c r="C5" s="608"/>
      <c r="D5" s="653">
        <f>4296+12610</f>
        <v>16906</v>
      </c>
      <c r="E5" s="654"/>
    </row>
    <row r="6" spans="1:5" ht="15.75" customHeight="1">
      <c r="A6" s="314" t="s">
        <v>84</v>
      </c>
      <c r="B6" s="607">
        <f>132+388</f>
        <v>520</v>
      </c>
      <c r="C6" s="608"/>
      <c r="D6" s="653">
        <f>41+182</f>
        <v>223</v>
      </c>
      <c r="E6" s="654"/>
    </row>
    <row r="7" spans="1:5" ht="15.75" customHeight="1">
      <c r="A7" s="314" t="s">
        <v>85</v>
      </c>
      <c r="B7" s="607">
        <v>51</v>
      </c>
      <c r="C7" s="608"/>
      <c r="D7" s="653">
        <v>34</v>
      </c>
      <c r="E7" s="654"/>
    </row>
    <row r="8" spans="1:5" ht="21.75" customHeight="1" thickBot="1">
      <c r="A8" s="317" t="s">
        <v>86</v>
      </c>
      <c r="B8" s="606">
        <f>+B7+B6+B5</f>
        <v>24873</v>
      </c>
      <c r="C8" s="643"/>
      <c r="D8" s="655">
        <f>+D7+D6+D5</f>
        <v>17163</v>
      </c>
      <c r="E8" s="656"/>
    </row>
    <row r="9" ht="13.5" thickTop="1"/>
    <row r="23" ht="19.5" customHeight="1"/>
    <row r="24" spans="1:5" ht="30" customHeight="1">
      <c r="A24" s="651" t="s">
        <v>92</v>
      </c>
      <c r="B24" s="651"/>
      <c r="C24" s="651"/>
      <c r="D24" s="651"/>
      <c r="E24" s="651"/>
    </row>
    <row r="25" spans="1:5" ht="14.25">
      <c r="A25" s="645" t="str">
        <f>+A2</f>
        <v>( 31.07.2007 Tarihi İtibariyle )</v>
      </c>
      <c r="B25" s="645"/>
      <c r="C25" s="645"/>
      <c r="D25" s="645"/>
      <c r="E25" s="645"/>
    </row>
    <row r="26" spans="1:5" ht="15" thickBot="1">
      <c r="A26" s="646" t="s">
        <v>88</v>
      </c>
      <c r="B26" s="646"/>
      <c r="C26" s="646"/>
      <c r="D26" s="646"/>
      <c r="E26" s="646"/>
    </row>
    <row r="27" spans="1:5" ht="20.25" customHeight="1" thickTop="1">
      <c r="A27" s="320"/>
      <c r="B27" s="647" t="s">
        <v>81</v>
      </c>
      <c r="C27" s="648"/>
      <c r="D27" s="647" t="s">
        <v>82</v>
      </c>
      <c r="E27" s="649"/>
    </row>
    <row r="28" spans="1:5" ht="18.75" customHeight="1">
      <c r="A28" s="314" t="s">
        <v>89</v>
      </c>
      <c r="B28" s="607">
        <v>1514</v>
      </c>
      <c r="C28" s="608"/>
      <c r="D28" s="607">
        <v>402</v>
      </c>
      <c r="E28" s="605"/>
    </row>
    <row r="29" spans="1:5" ht="31.5" customHeight="1">
      <c r="A29" s="314" t="s">
        <v>90</v>
      </c>
      <c r="B29" s="607">
        <v>1997</v>
      </c>
      <c r="C29" s="608"/>
      <c r="D29" s="607">
        <v>1423</v>
      </c>
      <c r="E29" s="605"/>
    </row>
    <row r="30" spans="1:5" ht="15.75" customHeight="1">
      <c r="A30" s="314" t="s">
        <v>91</v>
      </c>
      <c r="B30" s="607">
        <v>1518</v>
      </c>
      <c r="C30" s="608"/>
      <c r="D30" s="607">
        <v>504</v>
      </c>
      <c r="E30" s="605"/>
    </row>
    <row r="31" spans="1:5" ht="15.75" customHeight="1">
      <c r="A31" s="314" t="s">
        <v>84</v>
      </c>
      <c r="B31" s="607">
        <f>12+91</f>
        <v>103</v>
      </c>
      <c r="C31" s="608"/>
      <c r="D31" s="607">
        <f>26+4</f>
        <v>30</v>
      </c>
      <c r="E31" s="605"/>
    </row>
    <row r="32" spans="1:5" ht="18.75" customHeight="1">
      <c r="A32" s="314" t="s">
        <v>85</v>
      </c>
      <c r="B32" s="607">
        <v>51</v>
      </c>
      <c r="C32" s="608"/>
      <c r="D32" s="607">
        <v>34</v>
      </c>
      <c r="E32" s="605"/>
    </row>
    <row r="33" spans="1:5" ht="24.75" customHeight="1" thickBot="1">
      <c r="A33" s="317" t="s">
        <v>86</v>
      </c>
      <c r="B33" s="606">
        <f>+B32+B31+B30+B29+B28</f>
        <v>5183</v>
      </c>
      <c r="C33" s="643"/>
      <c r="D33" s="606">
        <f>+D32+D31+D30+D29+D28</f>
        <v>2393</v>
      </c>
      <c r="E33" s="644"/>
    </row>
    <row r="34" ht="13.5" thickTop="1"/>
  </sheetData>
  <mergeCells count="30">
    <mergeCell ref="B4:C4"/>
    <mergeCell ref="D4:E4"/>
    <mergeCell ref="B5:C5"/>
    <mergeCell ref="B6:C6"/>
    <mergeCell ref="A1:E1"/>
    <mergeCell ref="A2:E2"/>
    <mergeCell ref="A3:E3"/>
    <mergeCell ref="A24:E24"/>
    <mergeCell ref="B7:C7"/>
    <mergeCell ref="B8:C8"/>
    <mergeCell ref="D5:E5"/>
    <mergeCell ref="D6:E6"/>
    <mergeCell ref="D7:E7"/>
    <mergeCell ref="D8:E8"/>
    <mergeCell ref="B28:C28"/>
    <mergeCell ref="D28:E28"/>
    <mergeCell ref="A25:E25"/>
    <mergeCell ref="A26:E26"/>
    <mergeCell ref="B27:C27"/>
    <mergeCell ref="D27:E27"/>
    <mergeCell ref="B32:C32"/>
    <mergeCell ref="D32:E32"/>
    <mergeCell ref="B33:C33"/>
    <mergeCell ref="D33:E33"/>
    <mergeCell ref="B29:C29"/>
    <mergeCell ref="B30:C30"/>
    <mergeCell ref="B31:C31"/>
    <mergeCell ref="D29:E29"/>
    <mergeCell ref="D30:E30"/>
    <mergeCell ref="D31:E31"/>
  </mergeCells>
  <printOptions/>
  <pageMargins left="0.75" right="0.75" top="1" bottom="1" header="0.5" footer="0.5"/>
  <pageSetup horizontalDpi="300" verticalDpi="3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sheetPr>
    <tabColor indexed="12"/>
  </sheetPr>
  <dimension ref="A1:E10"/>
  <sheetViews>
    <sheetView showGridLines="0" workbookViewId="0" topLeftCell="A4">
      <selection activeCell="B6" sqref="B6"/>
    </sheetView>
  </sheetViews>
  <sheetFormatPr defaultColWidth="9.00390625" defaultRowHeight="12.75"/>
  <cols>
    <col min="1" max="1" width="20.75390625" style="1" customWidth="1"/>
    <col min="2" max="5" width="15.75390625" style="1" customWidth="1"/>
    <col min="6" max="16384" width="9.125" style="1" customWidth="1"/>
  </cols>
  <sheetData>
    <row r="1" spans="1:5" ht="37.5" customHeight="1">
      <c r="A1" s="660" t="s">
        <v>450</v>
      </c>
      <c r="B1" s="660"/>
      <c r="C1" s="660"/>
      <c r="D1" s="660"/>
      <c r="E1" s="660"/>
    </row>
    <row r="2" spans="1:5" ht="15.75">
      <c r="A2" s="651" t="str">
        <f>+3!A2:E2</f>
        <v>( 31.07.2007 Tarihi İtibariyle )</v>
      </c>
      <c r="B2" s="651"/>
      <c r="C2" s="651"/>
      <c r="D2" s="651"/>
      <c r="E2" s="651"/>
    </row>
    <row r="3" spans="1:5" ht="16.5" thickBot="1">
      <c r="A3" s="652" t="s">
        <v>93</v>
      </c>
      <c r="B3" s="652"/>
      <c r="C3" s="652"/>
      <c r="D3" s="652"/>
      <c r="E3" s="652"/>
    </row>
    <row r="4" spans="1:5" ht="16.5" thickTop="1">
      <c r="A4" s="310"/>
      <c r="B4" s="658" t="s">
        <v>94</v>
      </c>
      <c r="C4" s="658"/>
      <c r="D4" s="658" t="s">
        <v>95</v>
      </c>
      <c r="E4" s="659"/>
    </row>
    <row r="5" spans="1:5" ht="20.25" customHeight="1">
      <c r="A5" s="311"/>
      <c r="B5" s="312" t="s">
        <v>81</v>
      </c>
      <c r="C5" s="312" t="s">
        <v>82</v>
      </c>
      <c r="D5" s="312" t="s">
        <v>81</v>
      </c>
      <c r="E5" s="313" t="s">
        <v>82</v>
      </c>
    </row>
    <row r="6" spans="1:5" ht="15.75" customHeight="1">
      <c r="A6" s="314" t="s">
        <v>83</v>
      </c>
      <c r="B6" s="315">
        <v>15103</v>
      </c>
      <c r="C6" s="315">
        <v>10785</v>
      </c>
      <c r="D6" s="315">
        <v>4170</v>
      </c>
      <c r="E6" s="316">
        <v>3792</v>
      </c>
    </row>
    <row r="7" spans="1:5" ht="15.75" customHeight="1">
      <c r="A7" s="314" t="s">
        <v>84</v>
      </c>
      <c r="B7" s="315">
        <v>297</v>
      </c>
      <c r="C7" s="315">
        <v>156</v>
      </c>
      <c r="D7" s="315">
        <v>120</v>
      </c>
      <c r="E7" s="316">
        <v>37</v>
      </c>
    </row>
    <row r="8" spans="1:5" ht="15.75" customHeight="1">
      <c r="A8" s="314" t="s">
        <v>85</v>
      </c>
      <c r="B8" s="315">
        <v>0</v>
      </c>
      <c r="C8" s="315">
        <v>0</v>
      </c>
      <c r="D8" s="315"/>
      <c r="E8" s="316"/>
    </row>
    <row r="9" spans="1:5" ht="24.75" customHeight="1" thickBot="1">
      <c r="A9" s="317" t="s">
        <v>86</v>
      </c>
      <c r="B9" s="318">
        <f>+B8+B7+B6</f>
        <v>15400</v>
      </c>
      <c r="C9" s="318">
        <f>+C8+C7+C6</f>
        <v>10941</v>
      </c>
      <c r="D9" s="318">
        <f>+D8+D7+D6</f>
        <v>4290</v>
      </c>
      <c r="E9" s="319">
        <f>+E8+E7+E6</f>
        <v>3829</v>
      </c>
    </row>
    <row r="10" spans="1:5" ht="18" customHeight="1" thickTop="1">
      <c r="A10" s="657"/>
      <c r="B10" s="657"/>
      <c r="C10" s="657"/>
      <c r="D10" s="657"/>
      <c r="E10" s="657"/>
    </row>
  </sheetData>
  <mergeCells count="6">
    <mergeCell ref="A10:E10"/>
    <mergeCell ref="B4:C4"/>
    <mergeCell ref="D4:E4"/>
    <mergeCell ref="A1:E1"/>
    <mergeCell ref="A2:E2"/>
    <mergeCell ref="A3:E3"/>
  </mergeCells>
  <printOptions/>
  <pageMargins left="0.75" right="0.75" top="1" bottom="1" header="0.5" footer="0.5"/>
  <pageSetup horizontalDpi="300" verticalDpi="300" orientation="portrait" paperSize="9" r:id="rId2"/>
  <headerFooter alignWithMargins="0">
    <oddFooter>&amp;C&amp;"Arial Tur,Kalın" 4</oddFooter>
  </headerFooter>
  <drawing r:id="rId1"/>
</worksheet>
</file>

<file path=xl/worksheets/sheet7.xml><?xml version="1.0" encoding="utf-8"?>
<worksheet xmlns="http://schemas.openxmlformats.org/spreadsheetml/2006/main" xmlns:r="http://schemas.openxmlformats.org/officeDocument/2006/relationships">
  <sheetPr>
    <tabColor indexed="12"/>
  </sheetPr>
  <dimension ref="A1:E22"/>
  <sheetViews>
    <sheetView showGridLines="0" workbookViewId="0" topLeftCell="A7">
      <selection activeCell="G18" sqref="G18"/>
    </sheetView>
  </sheetViews>
  <sheetFormatPr defaultColWidth="9.00390625" defaultRowHeight="12.75"/>
  <cols>
    <col min="1" max="1" width="23.875" style="1" customWidth="1"/>
    <col min="2" max="2" width="18.25390625" style="1" customWidth="1"/>
    <col min="3" max="3" width="11.875" style="1" customWidth="1"/>
    <col min="4" max="4" width="16.625" style="1" customWidth="1"/>
    <col min="5" max="5" width="12.375" style="1" customWidth="1"/>
    <col min="6" max="16384" width="9.125" style="1" customWidth="1"/>
  </cols>
  <sheetData>
    <row r="1" spans="1:5" ht="15.75">
      <c r="A1" s="660" t="s">
        <v>451</v>
      </c>
      <c r="B1" s="663"/>
      <c r="C1" s="663"/>
      <c r="D1" s="663"/>
      <c r="E1" s="663"/>
    </row>
    <row r="2" spans="1:5" ht="28.5" customHeight="1" thickBot="1">
      <c r="A2" s="664" t="s">
        <v>805</v>
      </c>
      <c r="B2" s="665"/>
      <c r="C2" s="665"/>
      <c r="D2" s="665"/>
      <c r="E2" s="665"/>
    </row>
    <row r="3" spans="1:5" ht="22.5" customHeight="1" thickTop="1">
      <c r="A3" s="322">
        <v>2001</v>
      </c>
      <c r="B3" s="667" t="s">
        <v>100</v>
      </c>
      <c r="C3" s="667"/>
      <c r="D3" s="667"/>
      <c r="E3" s="668"/>
    </row>
    <row r="4" spans="1:5" ht="22.5" customHeight="1">
      <c r="A4" s="323">
        <v>2002</v>
      </c>
      <c r="B4" s="669" t="s">
        <v>102</v>
      </c>
      <c r="C4" s="669"/>
      <c r="D4" s="669"/>
      <c r="E4" s="670"/>
    </row>
    <row r="5" spans="1:5" ht="22.5" customHeight="1">
      <c r="A5" s="323">
        <v>2003</v>
      </c>
      <c r="B5" s="669" t="s">
        <v>101</v>
      </c>
      <c r="C5" s="669"/>
      <c r="D5" s="669"/>
      <c r="E5" s="670"/>
    </row>
    <row r="6" spans="1:5" ht="22.5" customHeight="1">
      <c r="A6" s="323">
        <v>2004</v>
      </c>
      <c r="B6" s="669" t="s">
        <v>103</v>
      </c>
      <c r="C6" s="669"/>
      <c r="D6" s="669"/>
      <c r="E6" s="670"/>
    </row>
    <row r="7" spans="1:5" ht="22.5" customHeight="1">
      <c r="A7" s="323">
        <v>2005</v>
      </c>
      <c r="B7" s="669" t="s">
        <v>488</v>
      </c>
      <c r="C7" s="669"/>
      <c r="D7" s="669"/>
      <c r="E7" s="670"/>
    </row>
    <row r="8" spans="1:5" ht="22.5" customHeight="1" thickBot="1">
      <c r="A8" s="324">
        <v>2006</v>
      </c>
      <c r="B8" s="661" t="s">
        <v>104</v>
      </c>
      <c r="C8" s="661"/>
      <c r="D8" s="661"/>
      <c r="E8" s="662"/>
    </row>
    <row r="9" ht="16.5" customHeight="1" thickTop="1"/>
    <row r="10" spans="1:5" ht="28.5" customHeight="1">
      <c r="A10" s="666" t="s">
        <v>806</v>
      </c>
      <c r="B10" s="666"/>
      <c r="C10" s="666"/>
      <c r="D10" s="666"/>
      <c r="E10" s="666"/>
    </row>
    <row r="11" spans="1:5" ht="18.75" customHeight="1" thickBot="1">
      <c r="A11" s="2"/>
      <c r="B11" s="2"/>
      <c r="C11" s="2"/>
      <c r="D11" s="2"/>
      <c r="E11" s="189" t="s">
        <v>571</v>
      </c>
    </row>
    <row r="12" spans="1:5" ht="51.75" customHeight="1" thickTop="1">
      <c r="A12" s="325"/>
      <c r="B12" s="321" t="s">
        <v>105</v>
      </c>
      <c r="C12" s="321" t="s">
        <v>444</v>
      </c>
      <c r="D12" s="326" t="s">
        <v>576</v>
      </c>
      <c r="E12" s="307" t="s">
        <v>444</v>
      </c>
    </row>
    <row r="13" spans="1:5" ht="28.5" customHeight="1">
      <c r="A13" s="327" t="s">
        <v>99</v>
      </c>
      <c r="B13" s="328">
        <f>+B14+B15+B16</f>
        <v>24935000</v>
      </c>
      <c r="C13" s="328">
        <f>+B13/B13*100</f>
        <v>100</v>
      </c>
      <c r="D13" s="329">
        <f>+D14+D15+D16</f>
        <v>29783000</v>
      </c>
      <c r="E13" s="330">
        <f>+D13/D13*100</f>
        <v>100</v>
      </c>
    </row>
    <row r="14" spans="1:5" ht="39.75" customHeight="1">
      <c r="A14" s="331" t="s">
        <v>441</v>
      </c>
      <c r="B14" s="332">
        <v>21670000</v>
      </c>
      <c r="C14" s="332">
        <f>+B14/B13*100</f>
        <v>86.90595548425908</v>
      </c>
      <c r="D14" s="333">
        <v>25411459</v>
      </c>
      <c r="E14" s="334">
        <f>+D14/D13*100</f>
        <v>85.32202598797973</v>
      </c>
    </row>
    <row r="15" spans="1:5" ht="52.5" customHeight="1">
      <c r="A15" s="331" t="s">
        <v>442</v>
      </c>
      <c r="B15" s="332">
        <v>760000</v>
      </c>
      <c r="C15" s="332">
        <f>+B15/B13*100</f>
        <v>3.0479246039703227</v>
      </c>
      <c r="D15" s="333">
        <v>840000</v>
      </c>
      <c r="E15" s="334">
        <f>+D15/D13*100</f>
        <v>2.8204008998421917</v>
      </c>
    </row>
    <row r="16" spans="1:5" ht="39.75" customHeight="1">
      <c r="A16" s="335" t="s">
        <v>96</v>
      </c>
      <c r="B16" s="332">
        <v>2505000</v>
      </c>
      <c r="C16" s="332">
        <f>+B16/B13*100</f>
        <v>10.046119911770605</v>
      </c>
      <c r="D16" s="333">
        <v>3531541</v>
      </c>
      <c r="E16" s="334">
        <f>+D16/D13*100</f>
        <v>11.857573112178088</v>
      </c>
    </row>
    <row r="17" spans="1:5" ht="36.75" customHeight="1">
      <c r="A17" s="327" t="s">
        <v>97</v>
      </c>
      <c r="B17" s="328">
        <f>+B18+B19+B20+B21</f>
        <v>35935000</v>
      </c>
      <c r="C17" s="328">
        <f>+B17/B17*100</f>
        <v>100</v>
      </c>
      <c r="D17" s="329">
        <f>+D18+D19+D20+D21</f>
        <v>38183000</v>
      </c>
      <c r="E17" s="330">
        <f>+D17/D17*100</f>
        <v>100</v>
      </c>
    </row>
    <row r="18" spans="1:5" ht="39.75" customHeight="1">
      <c r="A18" s="331" t="s">
        <v>443</v>
      </c>
      <c r="B18" s="332">
        <v>23998925</v>
      </c>
      <c r="C18" s="332">
        <f>+B18/B17*100</f>
        <v>66.78426325309587</v>
      </c>
      <c r="D18" s="333">
        <v>25581236</v>
      </c>
      <c r="E18" s="334">
        <f>+D18/D17*100</f>
        <v>66.99640153995233</v>
      </c>
    </row>
    <row r="19" spans="1:5" ht="39.75" customHeight="1">
      <c r="A19" s="331" t="s">
        <v>445</v>
      </c>
      <c r="B19" s="332">
        <v>11191252</v>
      </c>
      <c r="C19" s="332">
        <f>+B19/B17*100</f>
        <v>31.143041602894115</v>
      </c>
      <c r="D19" s="333">
        <v>11803564</v>
      </c>
      <c r="E19" s="334">
        <f>+D19/D17*100</f>
        <v>30.913139355210433</v>
      </c>
    </row>
    <row r="20" spans="1:5" ht="39.75" customHeight="1">
      <c r="A20" s="335" t="s">
        <v>446</v>
      </c>
      <c r="B20" s="332">
        <v>715823</v>
      </c>
      <c r="C20" s="332">
        <f>+B20/B17*100</f>
        <v>1.99199387783498</v>
      </c>
      <c r="D20" s="333">
        <v>769200</v>
      </c>
      <c r="E20" s="334">
        <f>+D20/D17*100</f>
        <v>2.0145090747191157</v>
      </c>
    </row>
    <row r="21" spans="1:5" ht="39.75" customHeight="1">
      <c r="A21" s="335" t="s">
        <v>447</v>
      </c>
      <c r="B21" s="332">
        <v>29000</v>
      </c>
      <c r="C21" s="336">
        <f>+B21/B17*100</f>
        <v>0.08070126617503827</v>
      </c>
      <c r="D21" s="333">
        <v>29000</v>
      </c>
      <c r="E21" s="337">
        <f>+D21/D17*100</f>
        <v>0.0759500301181154</v>
      </c>
    </row>
    <row r="22" spans="1:5" ht="34.5" customHeight="1" thickBot="1">
      <c r="A22" s="317" t="s">
        <v>98</v>
      </c>
      <c r="B22" s="338">
        <f>+B17-B13</f>
        <v>11000000</v>
      </c>
      <c r="C22" s="338"/>
      <c r="D22" s="338">
        <f>+D17-D13</f>
        <v>8400000</v>
      </c>
      <c r="E22" s="339"/>
    </row>
    <row r="23" ht="13.5" thickTop="1"/>
  </sheetData>
  <mergeCells count="9">
    <mergeCell ref="B8:E8"/>
    <mergeCell ref="A1:E1"/>
    <mergeCell ref="A2:E2"/>
    <mergeCell ref="A10:E10"/>
    <mergeCell ref="B3:E3"/>
    <mergeCell ref="B4:E4"/>
    <mergeCell ref="B5:E5"/>
    <mergeCell ref="B6:E6"/>
    <mergeCell ref="B7:E7"/>
  </mergeCells>
  <printOptions/>
  <pageMargins left="0.75" right="0.75" top="1" bottom="1" header="0.5" footer="0.5"/>
  <pageSetup horizontalDpi="300" verticalDpi="3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12"/>
  </sheetPr>
  <dimension ref="A1:M54"/>
  <sheetViews>
    <sheetView showGridLines="0" tabSelected="1" workbookViewId="0" topLeftCell="A19">
      <selection activeCell="A24" sqref="A24"/>
    </sheetView>
  </sheetViews>
  <sheetFormatPr defaultColWidth="9.00390625" defaultRowHeight="12.75"/>
  <cols>
    <col min="1" max="1" width="22.00390625" style="5" customWidth="1"/>
    <col min="2" max="3" width="0.12890625" style="5" hidden="1" customWidth="1"/>
    <col min="4" max="4" width="20.875" style="5" customWidth="1"/>
    <col min="5" max="5" width="22.125" style="5" customWidth="1"/>
    <col min="6" max="6" width="19.00390625" style="5" bestFit="1" customWidth="1"/>
    <col min="7" max="7" width="14.00390625" style="5" customWidth="1"/>
    <col min="8" max="8" width="14.125" style="5" customWidth="1"/>
    <col min="9" max="9" width="19.875" style="5" customWidth="1"/>
    <col min="10" max="10" width="1.625" style="5" customWidth="1"/>
    <col min="11" max="11" width="13.875" style="5" bestFit="1" customWidth="1"/>
    <col min="12" max="12" width="16.00390625" style="146" customWidth="1"/>
    <col min="13" max="13" width="15.875" style="146" customWidth="1"/>
    <col min="14" max="16384" width="9.125" style="5" customWidth="1"/>
  </cols>
  <sheetData>
    <row r="1" spans="1:9" ht="12.75">
      <c r="A1" s="684" t="s">
        <v>460</v>
      </c>
      <c r="B1" s="685"/>
      <c r="C1" s="685"/>
      <c r="D1" s="685"/>
      <c r="E1" s="685"/>
      <c r="F1" s="685"/>
      <c r="G1" s="685"/>
      <c r="H1" s="685"/>
      <c r="I1" s="685"/>
    </row>
    <row r="2" spans="1:9" ht="13.5" customHeight="1">
      <c r="A2" s="686" t="s">
        <v>108</v>
      </c>
      <c r="B2" s="687"/>
      <c r="C2" s="687"/>
      <c r="D2" s="687"/>
      <c r="E2" s="687"/>
      <c r="F2" s="687"/>
      <c r="G2" s="687"/>
      <c r="H2" s="687"/>
      <c r="I2" s="687"/>
    </row>
    <row r="3" spans="1:9" ht="16.5" customHeight="1" thickBot="1">
      <c r="A3" s="144" t="s">
        <v>807</v>
      </c>
      <c r="I3" s="145" t="s">
        <v>106</v>
      </c>
    </row>
    <row r="4" spans="1:9" ht="14.25" customHeight="1" thickTop="1">
      <c r="A4" s="693" t="s">
        <v>461</v>
      </c>
      <c r="B4" s="688" t="s">
        <v>111</v>
      </c>
      <c r="C4" s="695" t="s">
        <v>112</v>
      </c>
      <c r="D4" s="688" t="s">
        <v>462</v>
      </c>
      <c r="E4" s="688" t="s">
        <v>463</v>
      </c>
      <c r="F4" s="675" t="s">
        <v>464</v>
      </c>
      <c r="G4" s="676"/>
      <c r="H4" s="675" t="s">
        <v>574</v>
      </c>
      <c r="I4" s="690"/>
    </row>
    <row r="5" spans="1:9" ht="23.25" customHeight="1">
      <c r="A5" s="694"/>
      <c r="B5" s="689"/>
      <c r="C5" s="696"/>
      <c r="D5" s="689"/>
      <c r="E5" s="689"/>
      <c r="F5" s="677"/>
      <c r="G5" s="678"/>
      <c r="H5" s="691"/>
      <c r="I5" s="692"/>
    </row>
    <row r="6" spans="1:13" ht="12" customHeight="1">
      <c r="A6" s="340">
        <v>1989</v>
      </c>
      <c r="B6" s="341">
        <v>4705</v>
      </c>
      <c r="C6" s="342">
        <v>669</v>
      </c>
      <c r="D6" s="343">
        <v>5374</v>
      </c>
      <c r="E6" s="343">
        <v>4692</v>
      </c>
      <c r="F6" s="343">
        <v>682</v>
      </c>
      <c r="G6" s="344"/>
      <c r="H6" s="343">
        <v>319.01806053858854</v>
      </c>
      <c r="I6" s="345"/>
      <c r="L6" s="147">
        <v>1989</v>
      </c>
      <c r="M6" s="148">
        <v>319.01806053858854</v>
      </c>
    </row>
    <row r="7" spans="1:13" ht="12" customHeight="1">
      <c r="A7" s="340">
        <v>1990</v>
      </c>
      <c r="B7" s="341">
        <v>9289</v>
      </c>
      <c r="C7" s="342">
        <v>1414</v>
      </c>
      <c r="D7" s="343">
        <v>10703</v>
      </c>
      <c r="E7" s="343">
        <v>9304</v>
      </c>
      <c r="F7" s="343">
        <v>1399</v>
      </c>
      <c r="G7" s="344"/>
      <c r="H7" s="343">
        <v>531.036603187738</v>
      </c>
      <c r="I7" s="345"/>
      <c r="L7" s="147">
        <f>+L6+1</f>
        <v>1990</v>
      </c>
      <c r="M7" s="148">
        <v>531.036603187738</v>
      </c>
    </row>
    <row r="8" spans="1:13" ht="12" customHeight="1">
      <c r="A8" s="340">
        <f>+A7+1</f>
        <v>1991</v>
      </c>
      <c r="B8" s="341">
        <v>15426</v>
      </c>
      <c r="C8" s="342">
        <v>3085</v>
      </c>
      <c r="D8" s="343">
        <v>18511</v>
      </c>
      <c r="E8" s="343">
        <v>18383</v>
      </c>
      <c r="F8" s="343">
        <v>128</v>
      </c>
      <c r="G8" s="344"/>
      <c r="H8" s="343">
        <v>30.014960581915048</v>
      </c>
      <c r="I8" s="345"/>
      <c r="L8" s="147">
        <f>+L7+1</f>
        <v>1991</v>
      </c>
      <c r="M8" s="148">
        <v>30.014960581915048</v>
      </c>
    </row>
    <row r="9" spans="1:13" ht="12" customHeight="1">
      <c r="A9" s="340">
        <f>+A8+1</f>
        <v>1992</v>
      </c>
      <c r="B9" s="341">
        <v>29024</v>
      </c>
      <c r="C9" s="342">
        <v>3765</v>
      </c>
      <c r="D9" s="343">
        <v>32789</v>
      </c>
      <c r="E9" s="343">
        <v>35345</v>
      </c>
      <c r="F9" s="343">
        <v>-2556</v>
      </c>
      <c r="G9" s="344" t="s">
        <v>109</v>
      </c>
      <c r="H9" s="343">
        <v>-365.4049046601992</v>
      </c>
      <c r="I9" s="346" t="s">
        <v>109</v>
      </c>
      <c r="L9" s="147">
        <f>+L8+1</f>
        <v>1992</v>
      </c>
      <c r="M9" s="148">
        <v>-365.4049046601992</v>
      </c>
    </row>
    <row r="10" spans="1:13" ht="12" customHeight="1">
      <c r="A10" s="340">
        <v>1993</v>
      </c>
      <c r="B10" s="341">
        <v>44444</v>
      </c>
      <c r="C10" s="342">
        <v>7724</v>
      </c>
      <c r="D10" s="343">
        <v>52168</v>
      </c>
      <c r="E10" s="343">
        <v>60252</v>
      </c>
      <c r="F10" s="343">
        <v>-8084</v>
      </c>
      <c r="G10" s="344" t="s">
        <v>109</v>
      </c>
      <c r="H10" s="343">
        <v>-720.7489940808355</v>
      </c>
      <c r="I10" s="346" t="s">
        <v>109</v>
      </c>
      <c r="L10" s="147">
        <v>1993</v>
      </c>
      <c r="M10" s="148">
        <v>-720.7489940808355</v>
      </c>
    </row>
    <row r="11" spans="1:13" ht="12" customHeight="1">
      <c r="A11" s="340">
        <v>1994</v>
      </c>
      <c r="B11" s="341">
        <v>65304</v>
      </c>
      <c r="C11" s="342">
        <v>25031</v>
      </c>
      <c r="D11" s="343">
        <v>90335</v>
      </c>
      <c r="E11" s="343">
        <v>109734</v>
      </c>
      <c r="F11" s="343">
        <v>-19399</v>
      </c>
      <c r="G11" s="344" t="s">
        <v>109</v>
      </c>
      <c r="H11" s="343">
        <v>-641.019710059109</v>
      </c>
      <c r="I11" s="346" t="s">
        <v>109</v>
      </c>
      <c r="L11" s="147">
        <v>1994</v>
      </c>
      <c r="M11" s="148">
        <v>-641.019710059109</v>
      </c>
    </row>
    <row r="12" spans="1:13" ht="12" customHeight="1">
      <c r="A12" s="340">
        <v>1995</v>
      </c>
      <c r="B12" s="341">
        <v>103384</v>
      </c>
      <c r="C12" s="342">
        <v>34774</v>
      </c>
      <c r="D12" s="343">
        <v>138158</v>
      </c>
      <c r="E12" s="343">
        <v>219493</v>
      </c>
      <c r="F12" s="343">
        <v>-81335</v>
      </c>
      <c r="G12" s="344" t="s">
        <v>109</v>
      </c>
      <c r="H12" s="343">
        <v>-1746.9390174700345</v>
      </c>
      <c r="I12" s="346" t="s">
        <v>109</v>
      </c>
      <c r="L12" s="147">
        <v>1995</v>
      </c>
      <c r="M12" s="148">
        <v>-1746.9390174700345</v>
      </c>
    </row>
    <row r="13" spans="1:13" ht="12" customHeight="1">
      <c r="A13" s="340">
        <v>1996</v>
      </c>
      <c r="B13" s="341">
        <v>277533</v>
      </c>
      <c r="C13" s="342">
        <v>64903</v>
      </c>
      <c r="D13" s="343">
        <v>342436</v>
      </c>
      <c r="E13" s="343">
        <v>486819</v>
      </c>
      <c r="F13" s="343">
        <v>-144383</v>
      </c>
      <c r="G13" s="344" t="s">
        <v>109</v>
      </c>
      <c r="H13" s="343">
        <v>-1738.581867827656</v>
      </c>
      <c r="I13" s="346" t="s">
        <v>109</v>
      </c>
      <c r="L13" s="147">
        <v>1996</v>
      </c>
      <c r="M13" s="148">
        <v>-1738.581867827656</v>
      </c>
    </row>
    <row r="14" spans="1:13" ht="12" customHeight="1">
      <c r="A14" s="340">
        <v>1997</v>
      </c>
      <c r="B14" s="341">
        <v>659653</v>
      </c>
      <c r="C14" s="342">
        <f aca="true" t="shared" si="0" ref="C14:C19">+D14-B14</f>
        <v>64736</v>
      </c>
      <c r="D14" s="343">
        <v>724389</v>
      </c>
      <c r="E14" s="343">
        <v>1060389</v>
      </c>
      <c r="F14" s="343">
        <v>-336000</v>
      </c>
      <c r="G14" s="344" t="s">
        <v>109</v>
      </c>
      <c r="H14" s="343">
        <v>-2221</v>
      </c>
      <c r="I14" s="346" t="s">
        <v>109</v>
      </c>
      <c r="L14" s="147">
        <v>1997</v>
      </c>
      <c r="M14" s="148">
        <v>-2221</v>
      </c>
    </row>
    <row r="15" spans="1:13" ht="12" customHeight="1">
      <c r="A15" s="340">
        <v>1998</v>
      </c>
      <c r="B15" s="341">
        <v>1283913</v>
      </c>
      <c r="C15" s="342">
        <f t="shared" si="0"/>
        <v>266105</v>
      </c>
      <c r="D15" s="343">
        <v>1550018</v>
      </c>
      <c r="E15" s="343">
        <v>1997018</v>
      </c>
      <c r="F15" s="343">
        <v>-447000</v>
      </c>
      <c r="G15" s="344" t="s">
        <v>109</v>
      </c>
      <c r="H15" s="343">
        <v>-1692</v>
      </c>
      <c r="I15" s="346" t="s">
        <v>109</v>
      </c>
      <c r="L15" s="147">
        <v>1998</v>
      </c>
      <c r="M15" s="148">
        <v>-1692</v>
      </c>
    </row>
    <row r="16" spans="1:13" ht="12" customHeight="1">
      <c r="A16" s="340">
        <v>1999</v>
      </c>
      <c r="B16" s="341">
        <v>2126820</v>
      </c>
      <c r="C16" s="342">
        <f t="shared" si="0"/>
        <v>368015</v>
      </c>
      <c r="D16" s="343">
        <v>2494835</v>
      </c>
      <c r="E16" s="343">
        <v>3605835</v>
      </c>
      <c r="F16" s="343">
        <v>-1111000</v>
      </c>
      <c r="G16" s="344" t="s">
        <v>109</v>
      </c>
      <c r="H16" s="343">
        <v>-2662</v>
      </c>
      <c r="I16" s="346" t="s">
        <v>110</v>
      </c>
      <c r="L16" s="147">
        <v>1999</v>
      </c>
      <c r="M16" s="148">
        <v>-2662</v>
      </c>
    </row>
    <row r="17" spans="1:13" ht="12" customHeight="1">
      <c r="A17" s="340">
        <v>2000</v>
      </c>
      <c r="B17" s="341">
        <v>4046018</v>
      </c>
      <c r="C17" s="342">
        <f t="shared" si="0"/>
        <v>848700</v>
      </c>
      <c r="D17" s="343">
        <v>4894718</v>
      </c>
      <c r="E17" s="343">
        <v>5294718</v>
      </c>
      <c r="F17" s="343">
        <v>-400000</v>
      </c>
      <c r="G17" s="344" t="s">
        <v>109</v>
      </c>
      <c r="H17" s="343">
        <v>-688</v>
      </c>
      <c r="I17" s="346" t="s">
        <v>110</v>
      </c>
      <c r="L17" s="147">
        <v>2000</v>
      </c>
      <c r="M17" s="148">
        <v>-688</v>
      </c>
    </row>
    <row r="18" spans="1:13" ht="12" customHeight="1">
      <c r="A18" s="340">
        <v>2001</v>
      </c>
      <c r="B18" s="341">
        <v>6158198</v>
      </c>
      <c r="C18" s="342">
        <f t="shared" si="0"/>
        <v>1540333</v>
      </c>
      <c r="D18" s="343">
        <v>7698531</v>
      </c>
      <c r="E18" s="343">
        <v>8806531</v>
      </c>
      <c r="F18" s="343">
        <v>-1108000</v>
      </c>
      <c r="G18" s="344" t="s">
        <v>109</v>
      </c>
      <c r="H18" s="343">
        <v>-806</v>
      </c>
      <c r="I18" s="346" t="s">
        <v>110</v>
      </c>
      <c r="L18" s="147">
        <v>2001</v>
      </c>
      <c r="M18" s="148">
        <v>-806</v>
      </c>
    </row>
    <row r="19" spans="1:13" ht="12" customHeight="1">
      <c r="A19" s="340">
        <v>2002</v>
      </c>
      <c r="B19" s="341">
        <v>9348501</v>
      </c>
      <c r="C19" s="342">
        <f t="shared" si="0"/>
        <v>1783548</v>
      </c>
      <c r="D19" s="343">
        <v>11132049</v>
      </c>
      <c r="E19" s="343">
        <v>13518049</v>
      </c>
      <c r="F19" s="343">
        <v>-2386000</v>
      </c>
      <c r="G19" s="344" t="s">
        <v>109</v>
      </c>
      <c r="H19" s="343">
        <v>-1614</v>
      </c>
      <c r="I19" s="346" t="s">
        <v>110</v>
      </c>
      <c r="L19" s="147">
        <v>2002</v>
      </c>
      <c r="M19" s="148">
        <v>-1614</v>
      </c>
    </row>
    <row r="20" spans="1:13" ht="12" customHeight="1">
      <c r="A20" s="340">
        <v>2003</v>
      </c>
      <c r="B20" s="341">
        <v>9348501</v>
      </c>
      <c r="C20" s="342">
        <f>+D20-B20</f>
        <v>6101559</v>
      </c>
      <c r="D20" s="343">
        <v>15450060</v>
      </c>
      <c r="E20" s="343">
        <v>20258677</v>
      </c>
      <c r="F20" s="343">
        <v>-4808617</v>
      </c>
      <c r="G20" s="344" t="s">
        <v>109</v>
      </c>
      <c r="H20" s="343">
        <v>-1924.7</v>
      </c>
      <c r="I20" s="346" t="s">
        <v>110</v>
      </c>
      <c r="K20" s="5">
        <v>14315</v>
      </c>
      <c r="L20" s="147">
        <v>2003</v>
      </c>
      <c r="M20" s="148">
        <v>-1924.7</v>
      </c>
    </row>
    <row r="21" spans="1:13" ht="12" customHeight="1">
      <c r="A21" s="340" t="s">
        <v>114</v>
      </c>
      <c r="B21" s="341">
        <v>9348502</v>
      </c>
      <c r="C21" s="342">
        <f>+D21-B21</f>
        <v>10069456</v>
      </c>
      <c r="D21" s="343">
        <v>19417958</v>
      </c>
      <c r="E21" s="343">
        <v>25174958</v>
      </c>
      <c r="F21" s="343">
        <v>-5757000</v>
      </c>
      <c r="G21" s="344" t="s">
        <v>109</v>
      </c>
      <c r="H21" s="343">
        <v>-4053.2</v>
      </c>
      <c r="I21" s="346" t="s">
        <v>110</v>
      </c>
      <c r="K21" s="5">
        <v>14130</v>
      </c>
      <c r="L21" s="147" t="s">
        <v>114</v>
      </c>
      <c r="M21" s="148">
        <v>-4053.2</v>
      </c>
    </row>
    <row r="22" spans="1:13" ht="12" customHeight="1">
      <c r="A22" s="340" t="s">
        <v>115</v>
      </c>
      <c r="B22" s="341">
        <v>9348502</v>
      </c>
      <c r="C22" s="342">
        <f>+D22-B22</f>
        <v>13391267</v>
      </c>
      <c r="D22" s="343">
        <v>22739769</v>
      </c>
      <c r="E22" s="343">
        <v>30151436</v>
      </c>
      <c r="F22" s="343">
        <v>-7411667</v>
      </c>
      <c r="G22" s="344" t="s">
        <v>109</v>
      </c>
      <c r="H22" s="343">
        <v>-5604.5</v>
      </c>
      <c r="I22" s="346" t="s">
        <v>110</v>
      </c>
      <c r="K22" s="5">
        <v>13801</v>
      </c>
      <c r="L22" s="147" t="s">
        <v>115</v>
      </c>
      <c r="M22" s="148">
        <v>-5604.5</v>
      </c>
    </row>
    <row r="23" spans="1:13" ht="12" customHeight="1">
      <c r="A23" s="340" t="s">
        <v>113</v>
      </c>
      <c r="B23" s="341">
        <v>9348503</v>
      </c>
      <c r="C23" s="342">
        <f>+D23-B23</f>
        <v>20647670</v>
      </c>
      <c r="D23" s="343">
        <f>37591366-8527000+931807</f>
        <v>29996173</v>
      </c>
      <c r="E23" s="343">
        <f>38293722</f>
        <v>38293722</v>
      </c>
      <c r="F23" s="343">
        <f>+D23-E23</f>
        <v>-8297549</v>
      </c>
      <c r="G23" s="344" t="s">
        <v>109</v>
      </c>
      <c r="H23" s="343">
        <f>+F23/1405.6</f>
        <v>-5903.207882754696</v>
      </c>
      <c r="I23" s="346" t="s">
        <v>110</v>
      </c>
      <c r="K23" s="5">
        <v>13607</v>
      </c>
      <c r="L23" s="147" t="s">
        <v>113</v>
      </c>
      <c r="M23" s="148">
        <v>-6566.1</v>
      </c>
    </row>
    <row r="24" spans="1:13" ht="12" customHeight="1" thickBot="1">
      <c r="A24" s="340" t="s">
        <v>786</v>
      </c>
      <c r="B24" s="341"/>
      <c r="C24" s="342"/>
      <c r="D24" s="343">
        <f>33693409</f>
        <v>33693409</v>
      </c>
      <c r="E24" s="343">
        <f>45334149</f>
        <v>45334149</v>
      </c>
      <c r="F24" s="343">
        <f>+D24-E24</f>
        <v>-11640740</v>
      </c>
      <c r="G24" s="344" t="s">
        <v>109</v>
      </c>
      <c r="H24" s="575">
        <f>+F24/1351.9</f>
        <v>-8610.651675419778</v>
      </c>
      <c r="I24" s="346" t="s">
        <v>110</v>
      </c>
      <c r="K24" s="5">
        <v>13166</v>
      </c>
      <c r="L24" s="147" t="s">
        <v>786</v>
      </c>
      <c r="M24" s="148">
        <v>-6824.3</v>
      </c>
    </row>
    <row r="25" spans="1:13" ht="24.75" customHeight="1" thickTop="1">
      <c r="A25" s="682" t="s">
        <v>465</v>
      </c>
      <c r="B25" s="683"/>
      <c r="C25" s="683"/>
      <c r="D25" s="683"/>
      <c r="E25" s="683"/>
      <c r="F25" s="683"/>
      <c r="G25" s="683"/>
      <c r="H25" s="683"/>
      <c r="I25" s="683"/>
      <c r="K25" s="5">
        <f>SUM(K20:K24)</f>
        <v>69019</v>
      </c>
      <c r="L25" s="524"/>
      <c r="M25" s="524"/>
    </row>
    <row r="26" spans="1:13" ht="14.25" customHeight="1">
      <c r="A26" s="673" t="s">
        <v>466</v>
      </c>
      <c r="B26" s="674"/>
      <c r="C26" s="674"/>
      <c r="D26" s="674"/>
      <c r="E26" s="674"/>
      <c r="F26" s="674"/>
      <c r="G26" s="674"/>
      <c r="H26" s="674"/>
      <c r="I26" s="674"/>
      <c r="J26" s="674"/>
      <c r="K26" s="5">
        <f>+K25/5/10000</f>
        <v>1.38038</v>
      </c>
      <c r="L26" s="524"/>
      <c r="M26" s="524"/>
    </row>
    <row r="27" spans="1:12" ht="14.25" customHeight="1">
      <c r="A27" s="673" t="s">
        <v>471</v>
      </c>
      <c r="B27" s="679"/>
      <c r="C27" s="679"/>
      <c r="D27" s="679"/>
      <c r="E27" s="679"/>
      <c r="F27" s="679"/>
      <c r="G27" s="679"/>
      <c r="H27" s="679"/>
      <c r="I27" s="679"/>
      <c r="J27" s="71"/>
      <c r="K27" s="248" t="s">
        <v>107</v>
      </c>
      <c r="L27" s="146" t="s">
        <v>107</v>
      </c>
    </row>
    <row r="28" spans="1:9" ht="27" customHeight="1">
      <c r="A28" s="680" t="s">
        <v>825</v>
      </c>
      <c r="B28" s="681"/>
      <c r="C28" s="681"/>
      <c r="D28" s="681"/>
      <c r="E28" s="681" t="s">
        <v>107</v>
      </c>
      <c r="F28" s="681" t="s">
        <v>107</v>
      </c>
      <c r="G28" s="681"/>
      <c r="H28" s="681"/>
      <c r="I28" s="681"/>
    </row>
    <row r="29" spans="1:11" ht="14.25" customHeight="1">
      <c r="A29" s="671" t="s">
        <v>826</v>
      </c>
      <c r="B29" s="672"/>
      <c r="C29" s="672"/>
      <c r="D29" s="672"/>
      <c r="E29" s="672"/>
      <c r="F29" s="672"/>
      <c r="G29" s="672"/>
      <c r="H29" s="672"/>
      <c r="I29" s="672"/>
      <c r="J29" s="672"/>
      <c r="K29" s="5" t="s">
        <v>107</v>
      </c>
    </row>
    <row r="40" ht="12">
      <c r="F40" s="5" t="s">
        <v>107</v>
      </c>
    </row>
    <row r="41" ht="12">
      <c r="F41" s="5" t="s">
        <v>107</v>
      </c>
    </row>
    <row r="42" ht="12">
      <c r="F42" s="5" t="s">
        <v>107</v>
      </c>
    </row>
    <row r="53" ht="12">
      <c r="H53" s="5">
        <f>1431.5+1431+1380+1360.7</f>
        <v>5603.2</v>
      </c>
    </row>
    <row r="54" ht="12">
      <c r="H54" s="5">
        <f>+H53/4</f>
        <v>1400.8</v>
      </c>
    </row>
  </sheetData>
  <mergeCells count="14">
    <mergeCell ref="A1:I1"/>
    <mergeCell ref="A2:I2"/>
    <mergeCell ref="E4:E5"/>
    <mergeCell ref="H4:I5"/>
    <mergeCell ref="A4:A5"/>
    <mergeCell ref="B4:B5"/>
    <mergeCell ref="C4:C5"/>
    <mergeCell ref="D4:D5"/>
    <mergeCell ref="A29:J29"/>
    <mergeCell ref="A26:J26"/>
    <mergeCell ref="F4:G5"/>
    <mergeCell ref="A27:I27"/>
    <mergeCell ref="A28:I28"/>
    <mergeCell ref="A25:I25"/>
  </mergeCells>
  <printOptions/>
  <pageMargins left="0.7480314960629921" right="0.7480314960629921" top="0.2755905511811024" bottom="0" header="0.1968503937007874" footer="0"/>
  <pageSetup horizontalDpi="300" verticalDpi="300" orientation="landscape" paperSize="9" scale="95"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2"/>
  </sheetPr>
  <dimension ref="A1:P20"/>
  <sheetViews>
    <sheetView showGridLines="0" workbookViewId="0" topLeftCell="A4">
      <selection activeCell="H27" sqref="H27"/>
    </sheetView>
  </sheetViews>
  <sheetFormatPr defaultColWidth="9.00390625" defaultRowHeight="12.75"/>
  <cols>
    <col min="1" max="1" width="9.125" style="1" customWidth="1"/>
    <col min="2" max="2" width="12.375" style="1" customWidth="1"/>
    <col min="3" max="3" width="12.375" style="1" bestFit="1" customWidth="1"/>
    <col min="4" max="4" width="15.75390625" style="1" customWidth="1"/>
    <col min="5" max="5" width="13.125" style="1" customWidth="1"/>
    <col min="6" max="6" width="13.75390625" style="1" customWidth="1"/>
    <col min="7" max="7" width="11.125" style="1" customWidth="1"/>
    <col min="8" max="9" width="9.125" style="1" customWidth="1"/>
    <col min="10" max="10" width="12.125" style="6" customWidth="1"/>
    <col min="11" max="11" width="11.125" style="6" bestFit="1" customWidth="1"/>
    <col min="12" max="16384" width="9.125" style="1" customWidth="1"/>
  </cols>
  <sheetData>
    <row r="1" spans="1:7" ht="33" customHeight="1">
      <c r="A1" s="698" t="s">
        <v>452</v>
      </c>
      <c r="B1" s="685"/>
      <c r="C1" s="685"/>
      <c r="D1" s="685"/>
      <c r="E1" s="685"/>
      <c r="F1" s="685"/>
      <c r="G1" s="685"/>
    </row>
    <row r="2" spans="1:7" ht="21" customHeight="1">
      <c r="A2" s="699" t="s">
        <v>126</v>
      </c>
      <c r="B2" s="700"/>
      <c r="C2" s="700"/>
      <c r="D2" s="700"/>
      <c r="E2" s="700"/>
      <c r="F2" s="700"/>
      <c r="G2" s="700"/>
    </row>
    <row r="3" spans="1:10" ht="26.25" customHeight="1" thickBot="1">
      <c r="A3" s="11" t="s">
        <v>808</v>
      </c>
      <c r="B3" s="7"/>
      <c r="C3" s="7"/>
      <c r="D3" s="7"/>
      <c r="E3" s="7"/>
      <c r="J3" s="6" t="s">
        <v>123</v>
      </c>
    </row>
    <row r="4" spans="1:12" ht="55.5" customHeight="1" thickTop="1">
      <c r="A4" s="347" t="s">
        <v>116</v>
      </c>
      <c r="B4" s="348" t="s">
        <v>119</v>
      </c>
      <c r="C4" s="348" t="s">
        <v>117</v>
      </c>
      <c r="D4" s="348" t="s">
        <v>118</v>
      </c>
      <c r="E4" s="348" t="s">
        <v>86</v>
      </c>
      <c r="F4" s="349" t="s">
        <v>120</v>
      </c>
      <c r="G4" s="350" t="s">
        <v>121</v>
      </c>
      <c r="J4" s="8" t="s">
        <v>124</v>
      </c>
      <c r="K4" s="6" t="s">
        <v>122</v>
      </c>
      <c r="L4" s="9"/>
    </row>
    <row r="5" spans="1:12" ht="21.75" customHeight="1">
      <c r="A5" s="351">
        <v>1999</v>
      </c>
      <c r="B5" s="352">
        <v>1111000</v>
      </c>
      <c r="C5" s="352">
        <v>796145</v>
      </c>
      <c r="D5" s="352">
        <v>1035000</v>
      </c>
      <c r="E5" s="353">
        <f aca="true" t="shared" si="0" ref="E5:E10">SUM(B5:D5)</f>
        <v>2942145</v>
      </c>
      <c r="F5" s="354">
        <f aca="true" t="shared" si="1" ref="F5:F11">+(E5/J5)*100</f>
        <v>10.47597649751101</v>
      </c>
      <c r="G5" s="355">
        <f aca="true" t="shared" si="2" ref="G5:G10">+(E5/K5)*100</f>
        <v>3.7583463079522774</v>
      </c>
      <c r="J5" s="6">
        <v>28084685</v>
      </c>
      <c r="K5" s="6">
        <v>78282967</v>
      </c>
      <c r="L5" s="9"/>
    </row>
    <row r="6" spans="1:12" ht="21.75" customHeight="1">
      <c r="A6" s="351">
        <f>+A5+1</f>
        <v>2000</v>
      </c>
      <c r="B6" s="352">
        <v>400000</v>
      </c>
      <c r="C6" s="352">
        <v>1051460</v>
      </c>
      <c r="D6" s="352">
        <v>1775000</v>
      </c>
      <c r="E6" s="353">
        <f t="shared" si="0"/>
        <v>3226460</v>
      </c>
      <c r="F6" s="354">
        <f t="shared" si="1"/>
        <v>6.908164148836395</v>
      </c>
      <c r="G6" s="355">
        <f t="shared" si="2"/>
        <v>2.5689167537958117</v>
      </c>
      <c r="J6" s="6">
        <v>46705028</v>
      </c>
      <c r="K6" s="6">
        <v>125596129</v>
      </c>
      <c r="L6" s="9"/>
    </row>
    <row r="7" spans="1:12" ht="21.75" customHeight="1">
      <c r="A7" s="351">
        <f>+A6+1</f>
        <v>2001</v>
      </c>
      <c r="B7" s="352">
        <v>1108000</v>
      </c>
      <c r="C7" s="352">
        <v>1740000</v>
      </c>
      <c r="D7" s="352">
        <v>2675000</v>
      </c>
      <c r="E7" s="353">
        <f t="shared" si="0"/>
        <v>5523000</v>
      </c>
      <c r="F7" s="354">
        <f t="shared" si="1"/>
        <v>6.854137610060381</v>
      </c>
      <c r="G7" s="355">
        <f t="shared" si="2"/>
        <v>3.1294629942927448</v>
      </c>
      <c r="J7" s="6">
        <v>80579065</v>
      </c>
      <c r="K7" s="6">
        <v>176483953</v>
      </c>
      <c r="L7" s="9"/>
    </row>
    <row r="8" spans="1:12" ht="21.75" customHeight="1">
      <c r="A8" s="351">
        <f>+A7+1</f>
        <v>2002</v>
      </c>
      <c r="B8" s="352">
        <v>2386000</v>
      </c>
      <c r="C8" s="352">
        <v>2622000</v>
      </c>
      <c r="D8" s="352">
        <v>4676000</v>
      </c>
      <c r="E8" s="353">
        <f t="shared" si="0"/>
        <v>9684000</v>
      </c>
      <c r="F8" s="354">
        <f t="shared" si="1"/>
        <v>8.371199236530034</v>
      </c>
      <c r="G8" s="355">
        <f t="shared" si="2"/>
        <v>3.5210401382359486</v>
      </c>
      <c r="J8" s="6">
        <v>115682350</v>
      </c>
      <c r="K8" s="6">
        <v>275032366</v>
      </c>
      <c r="L8" s="9"/>
    </row>
    <row r="9" spans="1:12" ht="17.25" customHeight="1">
      <c r="A9" s="351">
        <f>+A8+1</f>
        <v>2003</v>
      </c>
      <c r="B9" s="352">
        <v>4808617</v>
      </c>
      <c r="C9" s="352">
        <v>4930000</v>
      </c>
      <c r="D9" s="352">
        <v>6145000</v>
      </c>
      <c r="E9" s="353">
        <f t="shared" si="0"/>
        <v>15883617</v>
      </c>
      <c r="F9" s="354">
        <f t="shared" si="1"/>
        <v>11.341067841548895</v>
      </c>
      <c r="G9" s="355">
        <f t="shared" si="2"/>
        <v>4.4531729998384435</v>
      </c>
      <c r="J9" s="6">
        <v>140053981</v>
      </c>
      <c r="K9" s="6">
        <v>356680888</v>
      </c>
      <c r="L9" s="9"/>
    </row>
    <row r="10" spans="1:12" ht="17.25" customHeight="1">
      <c r="A10" s="351">
        <v>2004</v>
      </c>
      <c r="B10" s="352">
        <v>5757000</v>
      </c>
      <c r="C10" s="352">
        <v>5273000</v>
      </c>
      <c r="D10" s="352">
        <v>7800000</v>
      </c>
      <c r="E10" s="353">
        <f t="shared" si="0"/>
        <v>18830000</v>
      </c>
      <c r="F10" s="354">
        <f t="shared" si="1"/>
        <v>12.374323889088993</v>
      </c>
      <c r="G10" s="355">
        <f t="shared" si="2"/>
        <v>4.389973235850904</v>
      </c>
      <c r="J10" s="6">
        <v>152169930</v>
      </c>
      <c r="K10" s="6">
        <v>428932000</v>
      </c>
      <c r="L10" s="9"/>
    </row>
    <row r="11" spans="1:12" ht="17.25" customHeight="1" thickBot="1">
      <c r="A11" s="356" t="s">
        <v>125</v>
      </c>
      <c r="B11" s="357">
        <v>7507267</v>
      </c>
      <c r="C11" s="357">
        <v>6926000</v>
      </c>
      <c r="D11" s="357">
        <v>8889300</v>
      </c>
      <c r="E11" s="358">
        <f>SUM(B11:D11)</f>
        <v>23322567</v>
      </c>
      <c r="F11" s="359">
        <f t="shared" si="1"/>
        <v>14.735098781265993</v>
      </c>
      <c r="G11" s="360">
        <f>+(E11/K11)*100</f>
        <v>4.808201699590564</v>
      </c>
      <c r="J11" s="6">
        <v>158279000</v>
      </c>
      <c r="K11" s="6">
        <v>485058000</v>
      </c>
      <c r="L11" s="9"/>
    </row>
    <row r="12" spans="1:16" ht="104.25" customHeight="1" thickTop="1">
      <c r="A12" s="697" t="s">
        <v>467</v>
      </c>
      <c r="B12" s="697"/>
      <c r="C12" s="697"/>
      <c r="D12" s="697"/>
      <c r="E12" s="697"/>
      <c r="F12" s="697"/>
      <c r="G12" s="697"/>
      <c r="H12" s="87"/>
      <c r="I12" s="87"/>
      <c r="J12" s="149"/>
      <c r="K12" s="149" t="s">
        <v>107</v>
      </c>
      <c r="L12" s="87"/>
      <c r="M12" s="87"/>
      <c r="N12" s="87"/>
      <c r="O12" s="87"/>
      <c r="P12" s="87"/>
    </row>
    <row r="13" spans="1:9" ht="40.5" customHeight="1">
      <c r="A13" s="697" t="s">
        <v>776</v>
      </c>
      <c r="B13" s="697"/>
      <c r="C13" s="697"/>
      <c r="D13" s="697"/>
      <c r="E13" s="697"/>
      <c r="F13" s="697"/>
      <c r="G13" s="697"/>
      <c r="H13" s="697"/>
      <c r="I13" s="697"/>
    </row>
    <row r="14" spans="1:9" ht="10.5" customHeight="1">
      <c r="A14" s="10"/>
      <c r="B14" s="10"/>
      <c r="C14" s="10"/>
      <c r="D14" s="10"/>
      <c r="E14" s="10"/>
      <c r="H14" s="10"/>
      <c r="I14" s="10"/>
    </row>
    <row r="15" spans="1:9" ht="12.75">
      <c r="A15" s="10"/>
      <c r="B15" s="10"/>
      <c r="C15" s="10"/>
      <c r="D15" s="10"/>
      <c r="E15" s="10"/>
      <c r="H15" s="10"/>
      <c r="I15" s="10"/>
    </row>
    <row r="16" spans="1:9" ht="12.75">
      <c r="A16" s="10"/>
      <c r="B16" s="10"/>
      <c r="C16" s="10"/>
      <c r="D16" s="10"/>
      <c r="E16" s="10"/>
      <c r="H16" s="10"/>
      <c r="I16" s="10"/>
    </row>
    <row r="17" spans="1:9" ht="12.75">
      <c r="A17" s="10"/>
      <c r="B17" s="10"/>
      <c r="C17" s="10"/>
      <c r="D17" s="10"/>
      <c r="E17" s="10"/>
      <c r="H17" s="10"/>
      <c r="I17" s="10"/>
    </row>
    <row r="18" spans="1:9" ht="12.75">
      <c r="A18" s="10"/>
      <c r="B18" s="10"/>
      <c r="C18" s="10"/>
      <c r="D18" s="10"/>
      <c r="E18" s="10"/>
      <c r="H18" s="10"/>
      <c r="I18" s="10"/>
    </row>
    <row r="19" spans="1:9" ht="12.75">
      <c r="A19" s="10"/>
      <c r="B19" s="10"/>
      <c r="C19" s="10"/>
      <c r="D19" s="10"/>
      <c r="E19" s="10"/>
      <c r="H19" s="10"/>
      <c r="I19" s="10"/>
    </row>
    <row r="20" spans="1:9" ht="12.75">
      <c r="A20" s="10"/>
      <c r="B20" s="10"/>
      <c r="C20" s="10"/>
      <c r="D20" s="10"/>
      <c r="E20" s="10"/>
      <c r="H20" s="10"/>
      <c r="I20" s="10"/>
    </row>
  </sheetData>
  <mergeCells count="5">
    <mergeCell ref="H13:I13"/>
    <mergeCell ref="A1:G1"/>
    <mergeCell ref="A2:G2"/>
    <mergeCell ref="A12:G12"/>
    <mergeCell ref="A13:G13"/>
  </mergeCells>
  <printOptions/>
  <pageMargins left="0.75" right="0.75" top="0.58" bottom="0.51" header="0.5" footer="0.5"/>
  <pageSetup horizontalDpi="300" verticalDpi="300" orientation="portrait" paperSize="9" r:id="rId2"/>
  <headerFooter alignWithMargins="0">
    <oddFooter>&amp;C&amp;A</oddFooter>
  </headerFooter>
  <ignoredErrors>
    <ignoredError sqref="E5 E1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SSK</dc:creator>
  <cp:keywords/>
  <dc:description/>
  <cp:lastModifiedBy>zaktar</cp:lastModifiedBy>
  <cp:lastPrinted>2007-08-23T09:03:23Z</cp:lastPrinted>
  <dcterms:created xsi:type="dcterms:W3CDTF">2006-03-30T06:42:57Z</dcterms:created>
  <dcterms:modified xsi:type="dcterms:W3CDTF">2007-11-23T09:58:25Z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-1669427039</vt:i4>
  </property>
  <property fmtid="{D5CDD505-2E9C-101B-9397-08002B2CF9AE}" pid="3" name="_EmailSubject">
    <vt:lpwstr/>
  </property>
  <property fmtid="{D5CDD505-2E9C-101B-9397-08002B2CF9AE}" pid="4" name="_AuthorEmail">
    <vt:lpwstr>aterkan@ssk.gov.tr</vt:lpwstr>
  </property>
  <property fmtid="{D5CDD505-2E9C-101B-9397-08002B2CF9AE}" pid="5" name="_AuthorEmailDisplayName">
    <vt:lpwstr>ABDULLAH TERKAN</vt:lpwstr>
  </property>
  <property fmtid="{D5CDD505-2E9C-101B-9397-08002B2CF9AE}" pid="6" name="_PreviousAdHocReviewCycleID">
    <vt:i4>-1480886135</vt:i4>
  </property>
  <property fmtid="{D5CDD505-2E9C-101B-9397-08002B2CF9AE}" pid="7" name="_ReviewingToolsShownOnce">
    <vt:lpwstr/>
  </property>
</Properties>
</file>