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21" yWindow="270" windowWidth="12120" windowHeight="4980" tabRatio="983" activeTab="15"/>
  </bookViews>
  <sheets>
    <sheet name="KAPAK" sheetId="1" r:id="rId1"/>
    <sheet name="içindekiler" sheetId="2" r:id="rId2"/>
    <sheet name="ORG.ŞEMASI-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s>
  <definedNames/>
  <calcPr fullCalcOnLoad="1"/>
</workbook>
</file>

<file path=xl/sharedStrings.xml><?xml version="1.0" encoding="utf-8"?>
<sst xmlns="http://schemas.openxmlformats.org/spreadsheetml/2006/main" count="997" uniqueCount="525">
  <si>
    <t xml:space="preserve"> </t>
  </si>
  <si>
    <t>•SÖZLEŞMELİ</t>
  </si>
  <si>
    <t>KADRO</t>
  </si>
  <si>
    <t>ÇALIŞAN</t>
  </si>
  <si>
    <t>BAŞKANLIK</t>
  </si>
  <si>
    <t>SİGORTA İŞL.GEN.MÜD.</t>
  </si>
  <si>
    <t>SAĞLIK İŞL.GEN.MÜD.</t>
  </si>
  <si>
    <t>İŞÇİ</t>
  </si>
  <si>
    <t>TOPLAM</t>
  </si>
  <si>
    <t>SİGORTA TESİSLERİ</t>
  </si>
  <si>
    <t>SAĞLIK TESİSLERİ</t>
  </si>
  <si>
    <t>MEMUR</t>
  </si>
  <si>
    <t>•TOPLAM</t>
  </si>
  <si>
    <t>(TAHSİLAT VE HARCAMA YÖNÜNDEN)</t>
  </si>
  <si>
    <t>Açık</t>
  </si>
  <si>
    <t>Açık(*)</t>
  </si>
  <si>
    <t>OCAK</t>
  </si>
  <si>
    <t>ŞUBAT</t>
  </si>
  <si>
    <t>MART</t>
  </si>
  <si>
    <t>NİSAN</t>
  </si>
  <si>
    <t>MAYIS</t>
  </si>
  <si>
    <t>HAZİRAN</t>
  </si>
  <si>
    <t>TEMMUZ</t>
  </si>
  <si>
    <t>AĞUSTOS</t>
  </si>
  <si>
    <t>EYLÜL</t>
  </si>
  <si>
    <t>EKİM</t>
  </si>
  <si>
    <t>KASIM</t>
  </si>
  <si>
    <t>ARALIK</t>
  </si>
  <si>
    <t>AYLAR</t>
  </si>
  <si>
    <t>PRİM GELİRLERİ</t>
  </si>
  <si>
    <t>EMEKLİ ÖDEMELERİ</t>
  </si>
  <si>
    <t>PRİM GELİRLERİNİN EMEKLİ ÖDEMELERİNİ KARŞILAMA ORANI(%)</t>
  </si>
  <si>
    <t xml:space="preserve">NİSAN </t>
  </si>
  <si>
    <t>T O P L A M</t>
  </si>
  <si>
    <t>(MİLYAR TL.)</t>
  </si>
  <si>
    <t>Hazine Yardımı</t>
  </si>
  <si>
    <t>Bağ-Kur Adına Al.</t>
  </si>
  <si>
    <t>Zorunlu Sigortalı</t>
  </si>
  <si>
    <t>Çıraklar</t>
  </si>
  <si>
    <t>Topluluk</t>
  </si>
  <si>
    <t>Tarım</t>
  </si>
  <si>
    <t>Emekli Sayısı</t>
  </si>
  <si>
    <t>Aile Bireyleri</t>
  </si>
  <si>
    <t>Kapsamdaki Toplam Nüfus</t>
  </si>
  <si>
    <t>YILLAR</t>
  </si>
  <si>
    <t>•AİLE FERDİ</t>
  </si>
  <si>
    <t>UYGULAMA TARİHİ</t>
  </si>
  <si>
    <t>ALT SINIR</t>
  </si>
  <si>
    <t>ÜST SINIR</t>
  </si>
  <si>
    <t>01.04.2001-31.3.2002</t>
  </si>
  <si>
    <t>GÜNLÜK</t>
  </si>
  <si>
    <t>AYLIK</t>
  </si>
  <si>
    <t>01.04.2002-30.6.2002</t>
  </si>
  <si>
    <t>01.07.2002-31.3.2003</t>
  </si>
  <si>
    <t>TAHSİS TÜRLERİ</t>
  </si>
  <si>
    <t>Yaşlılık Aylığı Alanlar</t>
  </si>
  <si>
    <t>Ölüm Aylığı Alanlar</t>
  </si>
  <si>
    <t>Malüllük Aylığı Alanlar</t>
  </si>
  <si>
    <t xml:space="preserve">(SYZ DAHİL)             </t>
  </si>
  <si>
    <t xml:space="preserve">AYLAR </t>
  </si>
  <si>
    <t xml:space="preserve">             2000   OCAK </t>
  </si>
  <si>
    <t xml:space="preserve">                        ARALIK </t>
  </si>
  <si>
    <t xml:space="preserve">                       ARALIK</t>
  </si>
  <si>
    <t>2002 OCAK</t>
  </si>
  <si>
    <t xml:space="preserve">      ŞUBAT</t>
  </si>
  <si>
    <t xml:space="preserve">      MART</t>
  </si>
  <si>
    <t xml:space="preserve">      NİSAN</t>
  </si>
  <si>
    <t xml:space="preserve">      MAYIS</t>
  </si>
  <si>
    <t xml:space="preserve">           HAZİRAN</t>
  </si>
  <si>
    <t xml:space="preserve">           TEMMUZ</t>
  </si>
  <si>
    <t xml:space="preserve">            AĞUSTOS</t>
  </si>
  <si>
    <t xml:space="preserve">      EYLÜL</t>
  </si>
  <si>
    <t xml:space="preserve">   EKİM</t>
  </si>
  <si>
    <t xml:space="preserve">     KASIM</t>
  </si>
  <si>
    <t xml:space="preserve">       ARALIK</t>
  </si>
  <si>
    <t>POLİKLİNİK SAYISI</t>
  </si>
  <si>
    <t>YATAN HASTA SAYISI</t>
  </si>
  <si>
    <t>YATAK- GÜN SAYISI</t>
  </si>
  <si>
    <t>AMELİYAT SAYISI</t>
  </si>
  <si>
    <t>DOĞUM SAYISI</t>
  </si>
  <si>
    <t>REÇETE SAYISI</t>
  </si>
  <si>
    <t>TABELA SAYISI</t>
  </si>
  <si>
    <t>ARTIŞ ORANI %</t>
  </si>
  <si>
    <t>DIŞARIDAN SATIN ALINAN HİZMET</t>
  </si>
  <si>
    <t>DIŞARIDAN SATIN ALINAN HİZMETİN  TOPLAM İÇİNDEKİ ORANI(%)</t>
  </si>
  <si>
    <t>İLAÇ GİDERLERİ</t>
  </si>
  <si>
    <t>-</t>
  </si>
  <si>
    <t>748.699,5</t>
  </si>
  <si>
    <t>SEKTÖR</t>
  </si>
  <si>
    <t>İNŞAAT</t>
  </si>
  <si>
    <t>MAKİNA TEÇHİZAT  (Tıbbi Cihaz+Bilgisayar)</t>
  </si>
  <si>
    <t>TAŞIT ALIMI</t>
  </si>
  <si>
    <t>ÖDENEK</t>
  </si>
  <si>
    <t>SAĞLIK</t>
  </si>
  <si>
    <t>DKH (TİCARET)</t>
  </si>
  <si>
    <t>İÇİNDEKİLER</t>
  </si>
  <si>
    <t>Sayfa No</t>
  </si>
  <si>
    <t>İdari Para Cezaları</t>
  </si>
  <si>
    <t>Prime Esas Kazanç Alt ve Üst Sınırları (TL.)</t>
  </si>
  <si>
    <t>Kurumumuzdan Aylık ve Gelir Alanların Sayısı</t>
  </si>
  <si>
    <t>Emekli Aylık Seviyeleri (TL.) (SYZ Dahil)</t>
  </si>
  <si>
    <t>Kurumun Sağlık Giderleri (Milyar TL.)</t>
  </si>
  <si>
    <t>(%)</t>
  </si>
  <si>
    <t>YATIRIMLAR</t>
  </si>
  <si>
    <t>DİĞER GİDERLER</t>
  </si>
  <si>
    <t>GİDERLER TOPLAMI</t>
  </si>
  <si>
    <t>ÖDEMELER AÇIĞI</t>
  </si>
  <si>
    <t>PERSONEL DAĞILIMI (Distributions of Personnel)</t>
  </si>
  <si>
    <t>TARIM SİGORTALILARI (Insured Employed in Agricultural Sector)</t>
  </si>
  <si>
    <t>TEDAVİ FAALİYETLERİ (Medical Treatment Activity)</t>
  </si>
  <si>
    <t>SAĞLIK HARCAMALARI (MİLYAR TL) (Expenditures of Health)</t>
  </si>
  <si>
    <t>KURUMUN SAĞLIK GİDERLERİ (MİLYAR TL) (Health Expenditures of SII)</t>
  </si>
  <si>
    <t>Toplam</t>
  </si>
  <si>
    <t>İşkazası ve Mes. Hast. Sonucu Ölüm Haksahipleri</t>
  </si>
  <si>
    <t>Compulsory Insured</t>
  </si>
  <si>
    <t>Apprenticies</t>
  </si>
  <si>
    <t>Voluntarily Insured</t>
  </si>
  <si>
    <t>Dependents</t>
  </si>
  <si>
    <t>Cellective Insurance</t>
  </si>
  <si>
    <t>Insured in Agricultural Sector</t>
  </si>
  <si>
    <t>N'of Pensioners</t>
  </si>
  <si>
    <t>Total Population Group Covered by SII</t>
  </si>
  <si>
    <t>(Budget of Social Insurance Institution)</t>
  </si>
  <si>
    <t>ORANI (Rate) %</t>
  </si>
  <si>
    <t>(Premium Incomes)</t>
  </si>
  <si>
    <t xml:space="preserve">PRİM GELİRLERİ (TAHSİLAT) </t>
  </si>
  <si>
    <t xml:space="preserve"> (Health Facilities Revenue)</t>
  </si>
  <si>
    <t xml:space="preserve">SAĞLIK TESİSİ GEL. </t>
  </si>
  <si>
    <t>(Other Incomes)</t>
  </si>
  <si>
    <t xml:space="preserve">DİĞER GELİRLER </t>
  </si>
  <si>
    <t>(Total Revenue)</t>
  </si>
  <si>
    <t xml:space="preserve">GELİRLER TOPLAMI </t>
  </si>
  <si>
    <t>(Insurance Expenditures)</t>
  </si>
  <si>
    <t>(Health Expenditures)</t>
  </si>
  <si>
    <t xml:space="preserve">SAĞLIK GİDERLERİ </t>
  </si>
  <si>
    <t xml:space="preserve">SİGORTA GİDERLERİ </t>
  </si>
  <si>
    <t>(Investments)</t>
  </si>
  <si>
    <t>(Other Expenditures)</t>
  </si>
  <si>
    <t>(Total Expenditures)</t>
  </si>
  <si>
    <t>(Deficit of Payments)</t>
  </si>
  <si>
    <t>KURUMUN ÖDEMELER DENGESİNİN YILLAR İTİBARİYLE GELİŞİMİ (Changes in Balance of Payments of SII by Year)</t>
  </si>
  <si>
    <t>SÖZLEŞMELİ</t>
  </si>
  <si>
    <t>TABLO - 3 Merkez Teşkilatı Personel Durumu</t>
  </si>
  <si>
    <r>
      <t xml:space="preserve">   </t>
    </r>
    <r>
      <rPr>
        <b/>
        <u val="single"/>
        <sz val="12"/>
        <rFont val="Arial"/>
        <family val="2"/>
      </rPr>
      <t>KADRO</t>
    </r>
  </si>
  <si>
    <r>
      <t xml:space="preserve">    </t>
    </r>
    <r>
      <rPr>
        <b/>
        <u val="single"/>
        <sz val="12"/>
        <rFont val="Arial"/>
        <family val="2"/>
      </rPr>
      <t xml:space="preserve">ÇALIŞAN </t>
    </r>
  </si>
  <si>
    <r>
      <t>•</t>
    </r>
    <r>
      <rPr>
        <b/>
        <sz val="12"/>
        <rFont val="Arial"/>
        <family val="2"/>
      </rPr>
      <t>İŞÇİ</t>
    </r>
  </si>
  <si>
    <t>Katrilyon TL</t>
  </si>
  <si>
    <t>Sigortalı</t>
  </si>
  <si>
    <t xml:space="preserve">Total Insured </t>
  </si>
  <si>
    <t>Yıllar</t>
  </si>
  <si>
    <t>Oran</t>
  </si>
  <si>
    <t>Aktif Pasif Oranı (*)</t>
  </si>
  <si>
    <t>(*) Zorunlu sigortalı, isteğe bağlı, çırak, topluluk ve tarım sigortalılarının emekli sayısına bölümü ile bulunmuştur.</t>
  </si>
  <si>
    <t>YIL İÇİNDE AYLIK VE GELİR BAĞLANANLARIN SAYISI</t>
  </si>
  <si>
    <t>KURUMUMUZDAN AYLIK VE GELİR ALANLARIN SAYISI (Number Of Pensioners Covered by SII)</t>
  </si>
  <si>
    <t>EMEKLİ AYLIK SEVİYELERİ (TL.) (Level Of Pensions)</t>
  </si>
  <si>
    <t>2003 OCAK</t>
  </si>
  <si>
    <t>(Sosyal Destek Ödemesi)</t>
  </si>
  <si>
    <t>KURUM ECZANELERİ</t>
  </si>
  <si>
    <t>ANLAŞMALI ECZANELER</t>
  </si>
  <si>
    <t>T.C.</t>
  </si>
  <si>
    <t>ÇALIŞMA VE SOSYAL GÜVENLİK BAKANLIĞI</t>
  </si>
  <si>
    <t>SOSYAL SİGORTALAR KURUMU</t>
  </si>
  <si>
    <r>
      <t>GENEL KURUL</t>
    </r>
    <r>
      <rPr>
        <b/>
        <sz val="7"/>
        <color indexed="60"/>
        <rFont val="Times New Roman"/>
        <family val="1"/>
      </rPr>
      <t xml:space="preserve"> </t>
    </r>
  </si>
  <si>
    <t>YÖNETİM KURULU</t>
  </si>
  <si>
    <r>
      <t>BAŞKAN</t>
    </r>
    <r>
      <rPr>
        <b/>
        <sz val="7"/>
        <color indexed="60"/>
        <rFont val="Times New Roman"/>
        <family val="1"/>
      </rPr>
      <t xml:space="preserve"> </t>
    </r>
  </si>
  <si>
    <t xml:space="preserve">SSK SİGORTA İŞLERİ </t>
  </si>
  <si>
    <t>GENEL MÜDÜRLÜĞÜ</t>
  </si>
  <si>
    <t>GENEL MÜDÜR</t>
  </si>
  <si>
    <t xml:space="preserve">GENEL MÜDÜR </t>
  </si>
  <si>
    <r>
      <t>YARDIMCISI</t>
    </r>
    <r>
      <rPr>
        <b/>
        <sz val="7"/>
        <color indexed="60"/>
        <rFont val="Times New Roman"/>
        <family val="1"/>
      </rPr>
      <t xml:space="preserve"> </t>
    </r>
  </si>
  <si>
    <t>TAHSİSLER  (A)</t>
  </si>
  <si>
    <t>İLAÇ VE ECZACILIK (A)</t>
  </si>
  <si>
    <t xml:space="preserve">SAĞLIK HİZ. SATIN </t>
  </si>
  <si>
    <r>
      <t xml:space="preserve"> ALMA (A)</t>
    </r>
    <r>
      <rPr>
        <b/>
        <sz val="7"/>
        <color indexed="60"/>
        <rFont val="Times New Roman"/>
        <family val="1"/>
      </rPr>
      <t xml:space="preserve"> </t>
    </r>
  </si>
  <si>
    <t xml:space="preserve">SSK SAĞLIK İŞLERİ </t>
  </si>
  <si>
    <t>Organizasyon Şeması</t>
  </si>
  <si>
    <t>SSK,BAĞ-KUR VE EMEKLİ SANDIĞINA</t>
  </si>
  <si>
    <t>BAĞ - KUR</t>
  </si>
  <si>
    <t xml:space="preserve"> EMEKLİ SANDIĞI</t>
  </si>
  <si>
    <t xml:space="preserve">  (MİLYAR  TL.)</t>
  </si>
  <si>
    <t xml:space="preserve"> (MİLYON $)</t>
  </si>
  <si>
    <t xml:space="preserve">TABLO 4 -Taşra Teşkilatı Personel Durumu   </t>
  </si>
  <si>
    <t>*</t>
  </si>
  <si>
    <t>İŞYERİNİ BİLDİRMEYEN</t>
  </si>
  <si>
    <t>SİGORTALIYI BİLDİRMEYEN</t>
  </si>
  <si>
    <t>BİLDİRGE VERMEYEN</t>
  </si>
  <si>
    <t>VİZİTE KAĞIDININ VERİLMEMESİ</t>
  </si>
  <si>
    <t>01.04.2003-30.06.2003</t>
  </si>
  <si>
    <t xml:space="preserve">   </t>
  </si>
  <si>
    <t>(MİLYAR TL)</t>
  </si>
  <si>
    <t>(Milyar TL)</t>
  </si>
  <si>
    <t xml:space="preserve">SİGORTA TEŞKİLATI </t>
  </si>
  <si>
    <t xml:space="preserve">DİĞER ÜNİTELER </t>
  </si>
  <si>
    <r>
      <t>•</t>
    </r>
    <r>
      <rPr>
        <b/>
        <sz val="10"/>
        <color indexed="8"/>
        <rFont val="Times New Roman"/>
        <family val="1"/>
      </rPr>
      <t xml:space="preserve">81 SİGORTA İL MÜDÜRLÜĞÜ </t>
    </r>
  </si>
  <si>
    <r>
      <t>•</t>
    </r>
    <r>
      <rPr>
        <b/>
        <sz val="10"/>
        <color indexed="8"/>
        <rFont val="Times New Roman"/>
        <family val="1"/>
      </rPr>
      <t xml:space="preserve">1 HUZUREVİ (47 YATAKLI) </t>
    </r>
  </si>
  <si>
    <t>TABLO 2 - Personel Dağılımı</t>
  </si>
  <si>
    <t>Tablo :1 Taşra Teşkilatı (Provincial Organizations)</t>
  </si>
  <si>
    <t>TAŞRA TEŞKİLATI (Provincial Organizations)</t>
  </si>
  <si>
    <t>SİGORTA HİZMETLERİ (Insurance Services)</t>
  </si>
  <si>
    <t xml:space="preserve">Taşra Teşkilatı </t>
  </si>
  <si>
    <t>(PERSONNEL SITUATION OF CENTRAL ORGANIZATION))</t>
  </si>
  <si>
    <t xml:space="preserve">TAŞRA TEŞKİLATI PERSONEL DURUMU </t>
  </si>
  <si>
    <t>SSK Kapsamındaki Nüfus / Aktif- Pasif Oranı</t>
  </si>
  <si>
    <t xml:space="preserve">    MERKEZ TEŞKİLATI PERSONEL DURUMU </t>
  </si>
  <si>
    <t xml:space="preserve">        (PERSONNEL SITUATION OF PROVINCIAL ORGANIZATION))</t>
  </si>
  <si>
    <t>SSK,Bağ-Kur ve Emekli Sandığına Yapılan Bütçe Transferleri(Milyar TL.)</t>
  </si>
  <si>
    <t>SOSYAL SİGORTALAR KURUMU ORGANİZASYON YAPISI</t>
  </si>
  <si>
    <t xml:space="preserve">GELİRLER </t>
  </si>
  <si>
    <t xml:space="preserve">GİDERLER </t>
  </si>
  <si>
    <t>MALİ DURUM (Financial Situation)</t>
  </si>
  <si>
    <t>FARK (Deficit)</t>
  </si>
  <si>
    <t>YILLAR (Years)</t>
  </si>
  <si>
    <t>PRİM TAHSİLATI (Premium</t>
  </si>
  <si>
    <t>DİĞER GELİRLER (Other Revenues)</t>
  </si>
  <si>
    <t>GELİRLER TOPLAMI (Total of Revenues)</t>
  </si>
  <si>
    <t>GİDERLER TOPLAMI (Total of Enpenditures)</t>
  </si>
  <si>
    <t>YILLIK ORT. DOLAR KURU ÜZERİNDEN FARK (MİLYON $) (Deficit Based On Annual Average Exchange of Dollars)</t>
  </si>
  <si>
    <t>İDARİ PARA CEZALARI (Administrative Fine)</t>
  </si>
  <si>
    <t xml:space="preserve">• TARIM SİG. SAYISI                 </t>
  </si>
  <si>
    <t>2001YILI</t>
  </si>
  <si>
    <t>01.04.2002-30.06.2002</t>
  </si>
  <si>
    <t>01.07.2002-31.03.2003</t>
  </si>
  <si>
    <t xml:space="preserve">SİGORTALI BAŞINA AYLIK PRİM TUTARI (TL.)  </t>
  </si>
  <si>
    <t>Sürekli İşgör.Geliri Al.</t>
  </si>
  <si>
    <t>İLAÇ HARCAMASI</t>
  </si>
  <si>
    <t>İLAÇ HARCAMASI ARTIŞ ORANI (%)</t>
  </si>
  <si>
    <t>TOPLAM SAĞLIK HARCAMASI(*)</t>
  </si>
  <si>
    <t>01.01.2000 -31.03.2000</t>
  </si>
  <si>
    <t xml:space="preserve">4447 sayılı kanun öncesi </t>
  </si>
  <si>
    <r>
      <t>•</t>
    </r>
    <r>
      <rPr>
        <b/>
        <sz val="12"/>
        <rFont val="Arial"/>
        <family val="2"/>
      </rPr>
      <t xml:space="preserve">MEMUR  </t>
    </r>
  </si>
  <si>
    <r>
      <t xml:space="preserve"> </t>
    </r>
    <r>
      <rPr>
        <b/>
        <sz val="12"/>
        <rFont val="Arial"/>
        <family val="2"/>
      </rPr>
      <t>TOPLAM</t>
    </r>
  </si>
  <si>
    <t xml:space="preserve">                        YAPILAN BÜTÇE TRANSFERLERİ (MİLYAR TL.)</t>
  </si>
  <si>
    <t>TAHAKKUK</t>
  </si>
  <si>
    <t>TAHSİLAT</t>
  </si>
  <si>
    <t>HAZİNE YARDIMLARI</t>
  </si>
  <si>
    <t>TAHSİLAT ORANI (%)</t>
  </si>
  <si>
    <t>PRİM GELİRLERİ , EMEKLİ ÖDEMELERİ VE HAZİNE YARDIMLARI</t>
  </si>
  <si>
    <t>Prim Tahsilatı</t>
  </si>
  <si>
    <t>PRİM GELİRLERİ    (TRİLYON TL)</t>
  </si>
  <si>
    <t>•BRÜT</t>
  </si>
  <si>
    <t>•NET</t>
  </si>
  <si>
    <t>•AYLIĞI</t>
  </si>
  <si>
    <t>ASGARİ ÜCRET-ASGARİ EMEKLİ AYLIĞI</t>
  </si>
  <si>
    <t xml:space="preserve">•  (ASGARİ ÜCRET ÜZERİNDEN ÇALIŞANLAR EMEKLİ OLDUKLARINDA </t>
  </si>
  <si>
    <t>(MİLYON $)</t>
  </si>
  <si>
    <t>Toplam Hazineden Yapılan Transferler</t>
  </si>
  <si>
    <t>Sosyal Sigortalar Kurumu  Bütçesi</t>
  </si>
  <si>
    <t>Asgari Ücret ve Tarım Sigortalıları</t>
  </si>
  <si>
    <t>EMEKLİ</t>
  </si>
  <si>
    <t>ARTIŞ (%)</t>
  </si>
  <si>
    <t>UYGULAMA TARİHLERİ</t>
  </si>
  <si>
    <t>01.04.2000-31.07.2000</t>
  </si>
  <si>
    <t>01.08.2000-31.3.2001</t>
  </si>
  <si>
    <t>İşkazası ve Mes. Hast. Sonucu Ölüm Haksah.(Kişi)</t>
  </si>
  <si>
    <t>Kurumun Ödemeler Dengesinin Yıllar İtibariyle Değişimi (Tahsilat ve Harcama Yönünden)(Milyar TL.)</t>
  </si>
  <si>
    <t>Yıllar İtibariyle Prim Gelirleri, Emekli Ödemeleri ve Hazine Yardımları(Trilyon TL.)</t>
  </si>
  <si>
    <t>KURUMUN SAĞLIK TESİSLERİ GİDERLERİ</t>
  </si>
  <si>
    <t>KURUM SAĞLIK TESİSLERİ GİDERLERİNİN TOPLAM İÇİNDEKİ ORANI(%)</t>
  </si>
  <si>
    <t>TAŞRA TEŞKİLATI</t>
  </si>
  <si>
    <t>Tablo No</t>
  </si>
  <si>
    <t>(1)</t>
  </si>
  <si>
    <t>(2)</t>
  </si>
  <si>
    <t>(3)</t>
  </si>
  <si>
    <t>(4)</t>
  </si>
  <si>
    <t>(5)</t>
  </si>
  <si>
    <t>(10)</t>
  </si>
  <si>
    <t>(11)</t>
  </si>
  <si>
    <t>(12)</t>
  </si>
  <si>
    <t>(13)</t>
  </si>
  <si>
    <t>(14)</t>
  </si>
  <si>
    <t xml:space="preserve">    2003  HAZİRAN</t>
  </si>
  <si>
    <t>SAĞLIK HARCAMALARI İÇİNDEKİ ORANI (%)</t>
  </si>
  <si>
    <t>AYLIK İSTATİSTİK BÜLTENİ</t>
  </si>
  <si>
    <t xml:space="preserve">                             PRİM GELİRLERİ VE EMEKLİ ÖDEMELERİ(MİLYAR TL.)</t>
  </si>
  <si>
    <t>2002 YILI</t>
  </si>
  <si>
    <t>Ölüm Aylığı Al. (Kişi)</t>
  </si>
  <si>
    <t xml:space="preserve"> (Premium Incomes , Payments of Pensions and Treasury Transfers ) </t>
  </si>
  <si>
    <t xml:space="preserve">    2003  TEMMUZ</t>
  </si>
  <si>
    <r>
      <t xml:space="preserve">    (</t>
    </r>
    <r>
      <rPr>
        <b/>
        <sz val="9"/>
        <color indexed="12"/>
        <rFont val="Times New Roman"/>
        <family val="1"/>
      </rPr>
      <t>Buget Transfers to SII, institution of insured, self-the pension employedn fund of the republic)</t>
    </r>
  </si>
  <si>
    <t xml:space="preserve">    2003  AĞUSTOS</t>
  </si>
  <si>
    <t>EMLAK (Y)</t>
  </si>
  <si>
    <r>
      <t>DESTEK HİZMETLERİ  (Y)</t>
    </r>
    <r>
      <rPr>
        <b/>
        <sz val="7"/>
        <color indexed="60"/>
        <rFont val="Times New Roman"/>
        <family val="1"/>
      </rPr>
      <t xml:space="preserve"> </t>
    </r>
  </si>
  <si>
    <t>HİZMETLERİ (A)</t>
  </si>
  <si>
    <t>İNŞAAT (Y)</t>
  </si>
  <si>
    <t xml:space="preserve">PERSONEL EĞİTİM </t>
  </si>
  <si>
    <t>VE SOSYAL İŞLER (Y)</t>
  </si>
  <si>
    <t xml:space="preserve">VE MALÜLİYET  (A) </t>
  </si>
  <si>
    <t xml:space="preserve">TEDAVİ HİZ. </t>
  </si>
  <si>
    <r>
      <t xml:space="preserve"> VE İDARİ İŞLER (Y)</t>
    </r>
    <r>
      <rPr>
        <b/>
        <sz val="7"/>
        <color indexed="60"/>
        <rFont val="Times New Roman"/>
        <family val="1"/>
      </rPr>
      <t xml:space="preserve"> </t>
    </r>
  </si>
  <si>
    <t>MALZEME SATINALMA</t>
  </si>
  <si>
    <r>
      <t>•</t>
    </r>
    <r>
      <rPr>
        <b/>
        <sz val="10"/>
        <color indexed="8"/>
        <rFont val="Times New Roman"/>
        <family val="1"/>
      </rPr>
      <t xml:space="preserve">6 KREŞ VE GÜNDÜZ BAKIMEVİ </t>
    </r>
  </si>
  <si>
    <t xml:space="preserve">    2003  EYLÜL</t>
  </si>
  <si>
    <t>Bilanço esasına göre defter tutmak zorunda olanlar</t>
  </si>
  <si>
    <t>Diğer defter tutmak zorunda olanlar</t>
  </si>
  <si>
    <t>Defter tutmakla yükümlü olmayanlar</t>
  </si>
  <si>
    <t>Sigortalıyı Bildirmeyen</t>
  </si>
  <si>
    <t>Sigortalıyı Bildirmeyen(Çalışma izninin olmaması durumunda)</t>
  </si>
  <si>
    <t>Asıl nitelikte olması halinde belgede kayıtlı sigortalı başına</t>
  </si>
  <si>
    <t>Ek belge niteliğinde olması halinde sigortalı sayısına bakılmaksızın</t>
  </si>
  <si>
    <t>Hiç belge vermeyenlere ise sigortalı sayısına bakılmaksızın her ay için</t>
  </si>
  <si>
    <t xml:space="preserve">BELGE İBRAZ ETMEYEN </t>
  </si>
  <si>
    <t>Bilanço esasına göre defter tutmakla yükümlü iseler</t>
  </si>
  <si>
    <t>Diğer defter tutmakla yükümlü iseler</t>
  </si>
  <si>
    <t>Diğer defter tutmakla yükümlü değil iseler</t>
  </si>
  <si>
    <t xml:space="preserve">BELGENİN İŞÇİLER TARAFINDAN DA GÖRÜLEBİLECEK BİR YERE ASILMAMASI HALİNDE </t>
  </si>
  <si>
    <t xml:space="preserve">ASGARİ ÜCRET  :  </t>
  </si>
  <si>
    <t>Asgari Ücretin 3 katı</t>
  </si>
  <si>
    <t>Asgari Ücretin 2 katı</t>
  </si>
  <si>
    <t>Asgari Ücret  Tutarında</t>
  </si>
  <si>
    <t>Asgari Ücretin 1/5  Tutarında</t>
  </si>
  <si>
    <t>Asgari Ücretin 1/8  Tutarında</t>
  </si>
  <si>
    <t>Asgari Ücretin 12 katı</t>
  </si>
  <si>
    <t>Asgari Ücretin 6 katı</t>
  </si>
  <si>
    <t>FİNANS., AKTÜERYA VE PLANLAMA (D)</t>
  </si>
  <si>
    <t>BİLGİ İŞLEM (D)</t>
  </si>
  <si>
    <t>HUKUK (D)</t>
  </si>
  <si>
    <t>MUHASEBE VE MALİ İŞLER (D)</t>
  </si>
  <si>
    <r>
      <t>SİGORTA TEFTİŞ</t>
    </r>
    <r>
      <rPr>
        <b/>
        <sz val="7"/>
        <color indexed="60"/>
        <rFont val="Times New Roman"/>
        <family val="1"/>
      </rPr>
      <t xml:space="preserve"> </t>
    </r>
    <r>
      <rPr>
        <sz val="7"/>
        <rFont val="Times New Roman"/>
        <family val="1"/>
      </rPr>
      <t>(D)</t>
    </r>
  </si>
  <si>
    <r>
      <t>SAVUNMA UZMANLIĞI</t>
    </r>
    <r>
      <rPr>
        <b/>
        <sz val="7"/>
        <color indexed="60"/>
        <rFont val="Times New Roman"/>
        <family val="1"/>
      </rPr>
      <t xml:space="preserve"> </t>
    </r>
    <r>
      <rPr>
        <sz val="7"/>
        <rFont val="Times New Roman"/>
        <family val="1"/>
      </rPr>
      <t>(D)</t>
    </r>
  </si>
  <si>
    <t xml:space="preserve">YURTDIŞI İŞÇİ </t>
  </si>
  <si>
    <r>
      <t>(A)</t>
    </r>
    <r>
      <rPr>
        <sz val="10"/>
        <rFont val="Arial Tur"/>
        <family val="0"/>
      </rPr>
      <t xml:space="preserve"> Ana Hizmet Birimi</t>
    </r>
  </si>
  <si>
    <r>
      <t>(Y)</t>
    </r>
    <r>
      <rPr>
        <sz val="10"/>
        <rFont val="Arial Tur"/>
        <family val="0"/>
      </rPr>
      <t xml:space="preserve"> Yardımcı Hizmet Birimi</t>
    </r>
  </si>
  <si>
    <r>
      <t>(D)</t>
    </r>
    <r>
      <rPr>
        <sz val="10"/>
        <rFont val="Arial Tur"/>
        <family val="0"/>
      </rPr>
      <t xml:space="preserve"> Denetim, Danışma veya</t>
    </r>
    <r>
      <rPr>
        <sz val="10"/>
        <rFont val="Arial Tur"/>
        <family val="0"/>
      </rPr>
      <t xml:space="preserve"> Destek  Hizmet Birimi</t>
    </r>
  </si>
  <si>
    <t xml:space="preserve">    2003  EKİM</t>
  </si>
  <si>
    <t>İLAÇ KUTU SAYISI(*)</t>
  </si>
  <si>
    <t>İLAÇ ÇEŞİDİ SAYISI(**)</t>
  </si>
  <si>
    <t>(*) Ayakta tedavi edilen hastalara verilen ilaç sayısını göstermektedir.</t>
  </si>
  <si>
    <t>(**) Yatarak tedavi edilen hastalara verilen ilaç sayısını göstermektedir.</t>
  </si>
  <si>
    <t xml:space="preserve">          SSK Finansman , Aktüerya ve Planlama Daire Başkanlığı</t>
  </si>
  <si>
    <t xml:space="preserve">    2003  KASIM</t>
  </si>
  <si>
    <t xml:space="preserve">    2003  ARALIK</t>
  </si>
  <si>
    <t>01.07.2003-31.12.2003</t>
  </si>
  <si>
    <r>
      <t>ASGARİ AYLIK</t>
    </r>
    <r>
      <rPr>
        <sz val="10"/>
        <rFont val="Times New Roman"/>
        <family val="1"/>
      </rPr>
      <t xml:space="preserve"> </t>
    </r>
  </si>
  <si>
    <r>
      <t>AZAMİ AYLIK</t>
    </r>
    <r>
      <rPr>
        <sz val="10"/>
        <rFont val="Times New Roman"/>
        <family val="1"/>
      </rPr>
      <t xml:space="preserve"> </t>
    </r>
  </si>
  <si>
    <r>
      <t xml:space="preserve">             2001   OCAK</t>
    </r>
    <r>
      <rPr>
        <sz val="10"/>
        <rFont val="Times New Roman"/>
        <family val="1"/>
      </rPr>
      <t xml:space="preserve"> </t>
    </r>
  </si>
  <si>
    <r>
      <t>Toplam artış oranı</t>
    </r>
    <r>
      <rPr>
        <sz val="10"/>
        <rFont val="Times New Roman"/>
        <family val="1"/>
      </rPr>
      <t xml:space="preserve"> </t>
    </r>
  </si>
  <si>
    <t>İsteğe Bağlı(**)</t>
  </si>
  <si>
    <t>HARCAMA</t>
  </si>
  <si>
    <t xml:space="preserve">2004 YILI SEKTÖRLER İTİBARİYLE YATIRIM PROGRAMI                             </t>
  </si>
  <si>
    <t>SSK (*)</t>
  </si>
  <si>
    <t>ÖDEME TUTARI  (SYZ DAHİL)  (TRİLYON TL)</t>
  </si>
  <si>
    <t>• SİGORTALI BAŞINA AYLIK PRİM (TL.)               (ARALIK AYI İTİBARİYLE)</t>
  </si>
  <si>
    <t xml:space="preserve"> TOPLAM İÇİNDEKİ ORANI %</t>
  </si>
  <si>
    <t>2003 YILI</t>
  </si>
  <si>
    <t>85.684(*)</t>
  </si>
  <si>
    <t>18.084 milyar TL.Bakan onayı ile ek ödenek tahsisi yapılmıştır.</t>
  </si>
  <si>
    <r>
      <t>•</t>
    </r>
    <r>
      <rPr>
        <b/>
        <sz val="9"/>
        <color indexed="8"/>
        <rFont val="Arial"/>
        <family val="2"/>
      </rPr>
      <t>TOPLAM</t>
    </r>
  </si>
  <si>
    <t>(**) 2003 yılında isteğe bağlı sigortalı şartları 4842 sayılı kanunla yeniden düzenlenmiştir.Buna göre üç ay prim borcunu ödemeyen kişiler sistemden çıkarılmıştır.Bu nedenle isteğe bağlı sigortalı sayısı düşmüştür.</t>
  </si>
  <si>
    <t xml:space="preserve">(*) - Mevcut ödeneğine Kurum gelirlerinden ayrılan %10'luk kaynaktan Sağlık Sektörü Bilgisayar Alımı projesine </t>
  </si>
  <si>
    <t xml:space="preserve">   -DPT Müsteşarlığının 21.05.2004 tarih ve 298/861 sayılı yazıları ile sağlık sektörü Makine Teçhizat Alımı </t>
  </si>
  <si>
    <t>projesinin ödeneğinden 4.096 Milyar TL.sağlık sektörü Bilgisayar Alımı projesine aktarılmıştır.</t>
  </si>
  <si>
    <t xml:space="preserve">(**)- Mevcut ödeneğine Kurum gelirlerinden ayrılan %10'luk kaynaktan Ticaret Sektörü Bilgisayar Alımı projesine </t>
  </si>
  <si>
    <t>BÜTÇE HARCAMALARI İÇİNDEKİ ORANI(%)</t>
  </si>
  <si>
    <t>GSMH İÇİNDEKİ ORANI(%)</t>
  </si>
  <si>
    <t>01.01.2004-30.06.2004</t>
  </si>
  <si>
    <t>01.07.2004-31.12.2004</t>
  </si>
  <si>
    <t xml:space="preserve">         (Aylık İstatistik Bültenimizdeki bilgilere  www.ssk.gov.tr internet adresindeki istatistikler bölümünden ulaşabilirsiniz.)</t>
  </si>
  <si>
    <t>2005 YILI BÜTÇE (Budget in 2005)</t>
  </si>
  <si>
    <t>TEFTİŞ KURULU (D)</t>
  </si>
  <si>
    <r>
      <t xml:space="preserve"> </t>
    </r>
    <r>
      <rPr>
        <b/>
        <sz val="7"/>
        <color indexed="60"/>
        <rFont val="Times New Roman"/>
        <family val="1"/>
      </rPr>
      <t xml:space="preserve"> </t>
    </r>
  </si>
  <si>
    <t xml:space="preserve">SİGORTA PRİMLERİ (A) </t>
  </si>
  <si>
    <t xml:space="preserve">  KISA VADELİ  </t>
  </si>
  <si>
    <r>
      <t>SİGORTALAR (A)</t>
    </r>
    <r>
      <rPr>
        <b/>
        <sz val="7"/>
        <color indexed="60"/>
        <rFont val="Times New Roman"/>
        <family val="1"/>
      </rPr>
      <t xml:space="preserve"> </t>
    </r>
  </si>
  <si>
    <r>
      <t>PERSONEL VE EĞİTİM (Y)</t>
    </r>
    <r>
      <rPr>
        <b/>
        <sz val="7"/>
        <color indexed="60"/>
        <rFont val="Times New Roman"/>
        <family val="1"/>
      </rPr>
      <t xml:space="preserve"> </t>
    </r>
  </si>
  <si>
    <t xml:space="preserve"> İBRAZ EDİLEN BELGELERİN YÖNETMELİKLE BELİRLENEN USUL VE ESASLARA  UYGUN OLMAMASI HALİNDE </t>
  </si>
  <si>
    <t>Asgari Ücretin 1/2 katı</t>
  </si>
  <si>
    <t xml:space="preserve">veya kazançları Kuruma bildirilmediği veya eksik bildirildiği sigortalılarla ilgili </t>
  </si>
  <si>
    <t>düzenlenip düzenlenmediğine bakılmaksızın</t>
  </si>
  <si>
    <t xml:space="preserve">olması halinde,belgenin asıl veya ek nitelikte olup olmadığına, işverence </t>
  </si>
  <si>
    <t xml:space="preserve">Sigorta Müfettişi Tarafından veya Serbest Muhasebeci Mali Müşavir ve </t>
  </si>
  <si>
    <t xml:space="preserve">Yeminli Mali Müşavirlerce Düzenlenen Raporlara istinaden Kuruma </t>
  </si>
  <si>
    <t>bildirilmediği tespit edilen eksik işçilik tutarının mal edildiği adaylardan dolayı</t>
  </si>
  <si>
    <t xml:space="preserve">Belgenin Mahkeme Kararı ile veya Denetim Elemanlarınca yapılan tespitler </t>
  </si>
  <si>
    <t>sonucunda ya da Kamu Kurum ve Kuruluşları tarafından düzenlenen belgelerden hizmetleri</t>
  </si>
  <si>
    <t>(488,70 YTL.)</t>
  </si>
  <si>
    <t>01.01.2005-31.12.2005</t>
  </si>
  <si>
    <t>YTL.</t>
  </si>
  <si>
    <t>(16,29 YTL.)</t>
  </si>
  <si>
    <t>(105,89 YTL.)</t>
  </si>
  <si>
    <t>(3.176,70 YTL.)</t>
  </si>
  <si>
    <t xml:space="preserve">2004 OCAK </t>
  </si>
  <si>
    <t>(ARALIK AYI İTİBARİYLE ) (Investment Program by the Sector in 2004)</t>
  </si>
  <si>
    <t>ASGARİ ÜCRET</t>
  </si>
  <si>
    <t>01.07.2000-31.12.2000</t>
  </si>
  <si>
    <t>01.01.2001-30.06.2001</t>
  </si>
  <si>
    <t>01.01.2000 -30.06.2000</t>
  </si>
  <si>
    <t>01.07.2001-31.07.2001</t>
  </si>
  <si>
    <t>01.08.2001-31.12.2001</t>
  </si>
  <si>
    <t>01.01.2002-30.06.2002</t>
  </si>
  <si>
    <t>01.07.2002-31.12.2002</t>
  </si>
  <si>
    <t>01.01.2003-31.12.2003</t>
  </si>
  <si>
    <r>
      <t>•</t>
    </r>
    <r>
      <rPr>
        <b/>
        <sz val="10"/>
        <color indexed="8"/>
        <rFont val="Times New Roman"/>
        <family val="1"/>
      </rPr>
      <t>19 SİGORTA MÜDÜRLÜĞÜ (Henüz faaliyete geçmeyen izmir sig.müd.dahil değildir.)</t>
    </r>
  </si>
  <si>
    <t xml:space="preserve"> 2005 YILI PRİM GELİRLERİ VE EMEKLİ ÖDEMELERİ</t>
  </si>
  <si>
    <t>2005 YILI HAZİNEDEN YAPILAN TRANSFERLER VE PRİM TAHSİLATLARI</t>
  </si>
  <si>
    <t>Aylar İtibariyle 2005 Yılında Hazineden Yapılan Transferler ve Prim Tahsilatları     (Milyar TL.)(Milyon $)</t>
  </si>
  <si>
    <t xml:space="preserve">2004 Yılı Sektörler İtibariyle Yatırım Harcamaları (Aralık Sonu) </t>
  </si>
  <si>
    <t>Malullük Aylığı Al.</t>
  </si>
  <si>
    <t>Yaşlılık Aylığı Al.</t>
  </si>
  <si>
    <t>PRİME ESAS KAZANÇ ALT VE ÜST SINIRLARI İLE ASGARİ ÜCRET TUTARLARI (TL.) (Upper and Lower Levels Of Insurable Earnings,Amount of the monthly (daily) minimum wage)</t>
  </si>
  <si>
    <t>Artış Oranı(%)</t>
  </si>
  <si>
    <t>TÜFE  (% )</t>
  </si>
  <si>
    <t>(*)İlaç giderleri dahildir.</t>
  </si>
  <si>
    <t>•1 İLAÇ VE TIBBİ MALZEME SANAYİİ MÜESSESESİ</t>
  </si>
  <si>
    <t>(9)</t>
  </si>
  <si>
    <t>(18)</t>
  </si>
  <si>
    <t>(22)</t>
  </si>
  <si>
    <t>Sağlık Harcamaları (Milyar TL.) ve Tedavi Faaliyetleri</t>
  </si>
  <si>
    <t>15.545(**)</t>
  </si>
  <si>
    <t>9.045 milyar TL.Bakan onayı ile ek ödenek tahsisi yapılmıştır.</t>
  </si>
  <si>
    <r>
      <t>•</t>
    </r>
    <r>
      <rPr>
        <b/>
        <sz val="10"/>
        <color indexed="8"/>
        <rFont val="Times New Roman"/>
        <family val="1"/>
      </rPr>
      <t>16</t>
    </r>
    <r>
      <rPr>
        <sz val="10"/>
        <color indexed="8"/>
        <rFont val="Times New Roman"/>
        <family val="1"/>
      </rPr>
      <t xml:space="preserve"> </t>
    </r>
    <r>
      <rPr>
        <b/>
        <sz val="10"/>
        <color indexed="8"/>
        <rFont val="Times New Roman"/>
        <family val="1"/>
      </rPr>
      <t xml:space="preserve">SAĞLIK İŞLERİ İL MÜDÜRLÜĞÜ </t>
    </r>
  </si>
  <si>
    <t>2004 YILI</t>
  </si>
  <si>
    <t xml:space="preserve">2005 YILI SEKTÖRLER İTİBARİYLE YATIRIM PROGRAMI                             </t>
  </si>
  <si>
    <t xml:space="preserve"> (Investment Program by the Sector in 2005)</t>
  </si>
  <si>
    <t>2005                 AYLAR</t>
  </si>
  <si>
    <t>BİLGİSAYAR ALIMI</t>
  </si>
  <si>
    <t xml:space="preserve">Devredilmesine Dair” Kanun çercevesinde sağlık projeleri Sağlık Bakanlığına devredilmiştir.   </t>
  </si>
  <si>
    <t xml:space="preserve">-Yatırım Programı ile verilen ödenek 10.000.000.YTL olup, DPT Müsteşarlığınca inşaat projeleri için 12.220.000 YTL ve </t>
  </si>
  <si>
    <t>Bilgisayar Alımı için 5.000.000 YTL.olmak üzere  toplam 17.220.000.YTL. ek ödenek verilmiştir.</t>
  </si>
  <si>
    <t>NOT:Yüksek Planlama Kurulunun 26.04.2005 tarih, 2005/16 ve Bakanlar Kurulunun 05.05.2005 tarih, 2005/8947 sayılı kararları ile  5283 sayılı Kanun uyarınca</t>
  </si>
  <si>
    <t xml:space="preserve"> “Bazı Kamu Kurum ve Kuruluşlarına ait Sağlık Birimlerinin Sağlık Bakanlığına</t>
  </si>
  <si>
    <t xml:space="preserve"> ARALIK </t>
  </si>
  <si>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yapılacaktır. </t>
  </si>
  <si>
    <t>(**)İlaç giderleri dahildir.</t>
  </si>
  <si>
    <t>TOPLAM(**)</t>
  </si>
  <si>
    <t xml:space="preserve">(**)19 şubat 2005 tarihinden itibaren Kurumumuz sağlık tesislerinin  Sağlık Bakanlığına devir işlemleri tamamlanmış olup,Sağlık Bakanlığı tarafından sunulacak bu sistemde Kurumumuz tarafından sağlık hizmetlerinin karşılığı ödemeler yapılacaktır. </t>
  </si>
  <si>
    <t>GSMH</t>
  </si>
  <si>
    <t>MİLYAR TL.</t>
  </si>
  <si>
    <t>BÜTÇE HARCA</t>
  </si>
  <si>
    <r>
      <t>•</t>
    </r>
    <r>
      <rPr>
        <b/>
        <sz val="10"/>
        <color indexed="8"/>
        <rFont val="Times New Roman"/>
        <family val="1"/>
      </rPr>
      <t xml:space="preserve">15 </t>
    </r>
    <r>
      <rPr>
        <b/>
        <sz val="9"/>
        <color indexed="8"/>
        <rFont val="Times New Roman"/>
        <family val="1"/>
      </rPr>
      <t>SİGORTA ÖDEME BÜROSU</t>
    </r>
  </si>
  <si>
    <t>(*)2003 yılında hazineden alınan toplam para 4.808.617 Milyar TL. olup, bundan 1.643.041 Milyar TL. 'si sosyal destek ödemesi, 4325 sayılı yasa gereğince mahsup yapılan 7.692,5 Milyar TL. düşülürse 3.157.883,5 Milyar TL.  SSK adına yapılan hazine yardımını buluruz. Bu yardımdan 300.000 Milyar TL. 2002 yılından devreden ilaç borcundan 7.692,5 Milyar TL. mahsup edildikten sonra geriye kalan 292.307,5 Milyar TL. ilaç borcunu düşersek asıl bütçe açığımız olan 2.865.576 Milyar TL.' yi, 2004 yılında hazineden alınan toplam para 5.757.000 Milyar TL. olup, bundan Tütünbank'ın kuruma devri nedeniyle oluşan ödemeler açığı tutarı olarak 592.153 Milyar TL. mahsup edildikten sonra 5.164.847 Milyar TL.,SSK adına yapılan hazine yardımını buluruz.</t>
  </si>
  <si>
    <t>NOT:1-2003 YILI PRİM TAHSİLATI ÇALIŞMA RAPORU KİTABIMIZDA 12.745,0 TRİLYON TL.,NAKİT AKIM TABLOSUNDA İSE  13.613,0 TRİLYON TL.DİR. 868,0 TRİLYON TL.FARK İLE ,.2004 YILINDA Kİ ÇALIŞMA RAPORU KİTABIMIZDA 16.967,5 TİRİLYON TL..NAKİT AKIM TABLOSUNDA İSE 17.397,0 TRİLYON TL.'DİR 429,5 TRİLYON TL FARK İSE HER İKİ  YILDA YAPILAN TAKSİTLENDİRMEDENDİR.</t>
  </si>
  <si>
    <t>NOT:Aylar itibariyle göstermiş olduğumuz  prim gelirleri ve emekli ödemelerimiz nakit akım tablosundan alınmaktadır.Ayrıca, emekli ödemeleri içinde Müşterek emeklilik (Bağ-Kur,Emekli Sandığı ve Ek 20 madde Sandıkları) adına yapılan ödemeler de dahildir.</t>
  </si>
  <si>
    <t>2- ÇALIŞMA RAPORU KİTABIMIZDA YER ALAN EMEKLİ ÖDEMELERİ TUTARLARI SSK ADINA YAPILAN FİİLİ ÖDEMELERİ , NAKİT AKIM TABLOSUNDA Kİ EMEKLİ ÖDEMELERİ İSE MÜŞTEREK EMEKLİLİKTEN (BAĞ-KUR ,EMEKLİ SANDIĞI,EK 20.MD.SANDIKLARI) YAPILAN ÖDEMELERİ DE KAPSADIĞINDAN FARKLILIK GÖSTERMEKTİR.</t>
  </si>
  <si>
    <t>HARCAMA(*)</t>
  </si>
  <si>
    <t>(*) IV.Dönem (Yıl Sonu Geçici )gerçekleşme durumudur.</t>
  </si>
  <si>
    <t xml:space="preserve"> (2005 Aralık   sonu  itibariyle)</t>
  </si>
  <si>
    <t xml:space="preserve">2006 YILI SEKTÖRLER İTİBARİYLE YATIRIM PROGRAMI                             </t>
  </si>
  <si>
    <t xml:space="preserve"> (Investment Program by the Sector in 2006)</t>
  </si>
  <si>
    <t xml:space="preserve">(*) - Kurumumuz 2006 Yılı Yatırm Programının Ygulanması, Koordinasyonu Ve izlenmesine Dair"2005/9486 sayılı Bakanalra Kurulu Kararının eki olarak 7 Ocak 2006 gün ve 26046 sayılı Resmi Gazetede yayımlanarak yürürlüğe girmiştir. </t>
  </si>
  <si>
    <t>(Bin YTL)</t>
  </si>
  <si>
    <t>OCAK 2006</t>
  </si>
  <si>
    <t>Aylar İtibariyle2005-2006 Yıllarına Ait Prim Gelirleri ve Emekli Ödemeleri (Milyar TL.)</t>
  </si>
  <si>
    <t>Aylar İtibariyle 2006 Yılında Hazineden Yapılan Transferler ve Prim Tahsilatları     (Milyar TL.)(Milyon $)</t>
  </si>
  <si>
    <t xml:space="preserve">2005 ve 2006 Yılları Sektörler İtibariyle Yatırım Programı </t>
  </si>
  <si>
    <t>2006(Tah.)</t>
  </si>
  <si>
    <t>2005(**)</t>
  </si>
  <si>
    <t xml:space="preserve"> 2006 YILI PRİM GELİRLERİ VE EMEKLİ ÖDEMELERİ</t>
  </si>
  <si>
    <t>2006                 AYLAR</t>
  </si>
  <si>
    <t>2006 YILI HAZİNEDEN YAPILAN TRANSFERLER VE PRİM TAHSİLATLARI</t>
  </si>
  <si>
    <r>
      <t>•ASGARİ ÜCRET</t>
    </r>
    <r>
      <rPr>
        <b/>
        <sz val="11"/>
        <color indexed="8"/>
        <rFont val="Times New Roman"/>
        <family val="1"/>
      </rPr>
      <t xml:space="preserve"> (01.01.2006-31.12.2006)</t>
    </r>
  </si>
  <si>
    <t>531.000.000 TL.</t>
  </si>
  <si>
    <t xml:space="preserve">380.461.500 TL. </t>
  </si>
  <si>
    <t>(380,46 YTL.)</t>
  </si>
  <si>
    <t>4958 SAYILI KANUNA GÖRE İDARİ PARA CEZALARI      (01.01.2006-31.12.2006 )</t>
  </si>
  <si>
    <t>01.01.2006-31.12.2006</t>
  </si>
  <si>
    <t>2006           (Ocak)</t>
  </si>
  <si>
    <t>(31.01.2006 TARİHİ İTİBARİYLE)</t>
  </si>
  <si>
    <t xml:space="preserve">           (31.01.2006 TARİHİ  İTİBARİYLE) </t>
  </si>
  <si>
    <t>TABLO 5 - İlaç ve Tıbbi Malzeme Sanayii Müessesesi Personel durumu (31.01.2006)</t>
  </si>
  <si>
    <t xml:space="preserve">                EQUİPMENT INDUSTRİES)(31.01.2006 TARİHİ  İTİBARİYLE)</t>
  </si>
  <si>
    <t xml:space="preserve">                       MÜESSESESİ PERSONEL DURUMU</t>
  </si>
  <si>
    <t xml:space="preserve">                         İLAÇ VE TIBBİ MALZEME SANAYİİ</t>
  </si>
  <si>
    <t xml:space="preserve">   (PERSONNEL SITUATION OF INSTITUTION OF MEDİCİNE AND MEDİCAL </t>
  </si>
  <si>
    <t>TABLO 6 - SOSYAL SİGORTALAR KURUMU BÜTÇESİ</t>
  </si>
  <si>
    <t>TABLO 8 - Kurumun Ödemeler Dengesinin Yıllar İtibariyle Değişimi (MİLYAR TL)</t>
  </si>
  <si>
    <t>Tablo:9-SSK,Bağ-Kur ve Emekli Sandığına yapılan bütçe transferleri (Milyar TL.)</t>
  </si>
  <si>
    <t>TABLO 10 - Prim Gelirleri , Emekli Ödemeleri ve Hazine Yardımları</t>
  </si>
  <si>
    <t xml:space="preserve">Tablo 11 Prim gelirleri ve emekli ödemeleri                        (Premium Incomes and Payments of Pensions) </t>
  </si>
  <si>
    <t>TABLO 12 - 2005 Yılı Hazineden Alınanlar ve Prim Tahsilatları</t>
  </si>
  <si>
    <t>TABLO 13 - 2006 Yılı Hazineden Alınanlar ve Prim Tahsilatları</t>
  </si>
  <si>
    <t>TABLO 14 - SSK KAPSAMINDAKİ NÜFUS (Population Under Coverage of SII)</t>
  </si>
  <si>
    <t>TABLO 15 - Asgari Ücret- Asgari Emekli Aylığı</t>
  </si>
  <si>
    <t>TABLO 16 - Tarım Sigortalıları</t>
  </si>
  <si>
    <t>TABLO 17</t>
  </si>
  <si>
    <t>TABLO 18- Prime Esas Kazanç Alt ve Üst Sınırları İle Asgari Ücret Tutarları (TL)</t>
  </si>
  <si>
    <t>TABLO 19 - Kurumumuzdan Aylık ve Gelir Alanların Sayısı</t>
  </si>
  <si>
    <t>TABLO 20 - Yıl İçinde Aylık ve Gelir Bağlananların Sayısı</t>
  </si>
  <si>
    <t>TABLO 21 - Emekli Aylık Seviyeleri (TL.) (SYZ Dahil)</t>
  </si>
  <si>
    <t>TABLO 22 - Kurumun Sağlık Giderleri</t>
  </si>
  <si>
    <t>TABLO 23 - Sağlık Harcamaları</t>
  </si>
  <si>
    <t>TABLO 24 - Tedavi Faaliyetleri</t>
  </si>
  <si>
    <t>TABLO 25 - 2004 Yılı Sektörler İtibariyle Yatırım Programı</t>
  </si>
  <si>
    <t>TABLO 26 - 2005 Yılı Sektörler İtibariyle Yatırım Programı</t>
  </si>
  <si>
    <t>TABLO 27 - 2006 Yılı Sektörler İtibariyle Yatırım Programı</t>
  </si>
  <si>
    <t>Personel Dağılımı (31.01.2006 Tarihi İtibariyle)</t>
  </si>
  <si>
    <t>Merkez Teşkilatı Personel Durumu (31.01.2006 Tarihi İtibariyle)</t>
  </si>
  <si>
    <t>Taşra Teşkilatı Personel Durumu (31.01. 2006 Tarihi İtibariyle)</t>
  </si>
  <si>
    <t>İlaç ve Tıbbi Malzeme Sanayii Müessesesi Personel Durumu (31.01.2006 Tarihi İtibariyle)</t>
  </si>
  <si>
    <t>(6),(7)</t>
  </si>
  <si>
    <t>(8)</t>
  </si>
  <si>
    <t>(15),(16)</t>
  </si>
  <si>
    <t>(17)</t>
  </si>
  <si>
    <t>(19),(20)</t>
  </si>
  <si>
    <t>(21)</t>
  </si>
  <si>
    <t>(23)(24)</t>
  </si>
  <si>
    <t>(25)</t>
  </si>
  <si>
    <t>(26)(27)</t>
  </si>
  <si>
    <t>(**) 2005 yılı programında yer alan rakamlardır.</t>
  </si>
  <si>
    <t>(17,70 YTL.)</t>
  </si>
  <si>
    <t>(531,00 YTL.)</t>
  </si>
  <si>
    <t>(3.451,50 YTL.)</t>
  </si>
  <si>
    <t xml:space="preserve">2005 OCAK </t>
  </si>
  <si>
    <t>ARALIK (*)</t>
  </si>
  <si>
    <t>NOT:2005 yılı rakamlarımız 12 aylık fiili,2006 yılı ise 1aylık fiili 11aylık tahmini nakit akım tablolarından alınmıştır.</t>
  </si>
  <si>
    <t>2005(*)</t>
  </si>
  <si>
    <t>2006(Tahmini)</t>
  </si>
  <si>
    <t>2005(Aralık)</t>
  </si>
  <si>
    <t>2006 YILI BÜTÇE (Budget in 2006)</t>
  </si>
  <si>
    <t>(481,44 YTL.)</t>
  </si>
  <si>
    <t xml:space="preserve"> % 26,5 DAHA FAZLA AYLIK ALMAKTADIRLAR.) </t>
  </si>
  <si>
    <t>TABLO 7 -KURUMUMUZUN GELİR VE GİDERLERİ (Revenue  and expenditure Items of SII)                                      MİLYAR TL.</t>
  </si>
  <si>
    <t>NOT:2005 yılı revize bütçesi yapılmadığından rakamları verilememektedir.</t>
  </si>
  <si>
    <t>(*) 2000 yılı öncesi emekli olan kişilerin azami aylığının bugüne kadarki  tüfelendirilmiş kısmı 862,18 YTL.dir.Ancak 2006 Ocak dönemi itibariyle karma sisteme göre bağlanan azami aylığın tutarı 4,69YTL. SYZ dahil 1.307,95 YTL.dir.</t>
  </si>
  <si>
    <t>2006 OCAK -HAZİRAN(**)</t>
  </si>
  <si>
    <t>(**) Emeklilerimize %3 lük ocak ayı artışı ile birlikte  %4 lük de vergi iade artışı verilmiştir.</t>
  </si>
  <si>
    <t>(115,05YTL.)</t>
  </si>
  <si>
    <t>(*) 1989-1998 yılları gelir gider arasındaki fark, yıllık ortalama dolar kuru üzerinden  hesaplanırken,1999-2003 yılları arası her ayın sonundaki döviz alış kuru üzerinden hesaplanan birikimli rakamlardır.</t>
  </si>
  <si>
    <t>2004(**)</t>
  </si>
  <si>
    <t>2005(***)</t>
  </si>
  <si>
    <t>(**)2004 yılı 12 aylık fiili  nakit akım tablosu rakamları olup bu rakamlar içerisinde emeklilere ödenen , ocak ve temmuz aylarında ki %10 luk artışlar dahildir</t>
  </si>
  <si>
    <t>(***)2005 yılı ise 12 aylık fiili 2006 yılı ise 1 aylık fiili,11 aylık tahmini rakamlarıdır.2005 yılı gelir-gider farkı  7.507.267 olması gerekirken , içinden 95.600 Bin YTL. aralık ayından ocak ayına nakit devri çıkarılmıştır</t>
  </si>
  <si>
    <t>NOT:.2006 yılı ise 1 aylık fiili,11 aylık tahmini nakit akım tablosundan alınmıştır.</t>
  </si>
  <si>
    <t>NOT:İlaç ve Tıbbi Malzeme Sanayii Müessesesinin  faliyetlerinin azalması nedeniyle çalışan işçi personelimizin bir kısmı İstanbul Sağlık İşleri İl Müdürlüğüne diğer kısmı ise İstanbul'daki Sigorta İl Müdürlüklerine atanmışlardır..</t>
  </si>
  <si>
    <r>
      <t>•</t>
    </r>
    <r>
      <rPr>
        <b/>
        <sz val="11"/>
        <color indexed="8"/>
        <rFont val="Times New Roman"/>
        <family val="1"/>
      </rPr>
      <t xml:space="preserve">ASGARİ EMEKLİ (OCAK 2006) </t>
    </r>
  </si>
</sst>
</file>

<file path=xl/styles.xml><?xml version="1.0" encoding="utf-8"?>
<styleSheet xmlns="http://schemas.openxmlformats.org/spreadsheetml/2006/main">
  <numFmts count="5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 _T_L_-;\-* #,##0\ _T_L_-;_-* &quot;-&quot;??\ _T_L_-;_-@_-"/>
    <numFmt numFmtId="165" formatCode="_(* #,##0.00_);_(* \(#,##0.00\);_(* &quot;-&quot;??_);_(@_)"/>
    <numFmt numFmtId="166" formatCode="_(* #,##0_);_(* \(#,##0\);_(* &quot;-&quot;??_);_(@_)"/>
    <numFmt numFmtId="167" formatCode="_(* #,##0.0_);_(* \(#,##0.0\);_(* &quot;-&quot;??_);_(@_)"/>
    <numFmt numFmtId="168" formatCode="#,##0.0"/>
    <numFmt numFmtId="169" formatCode="0.0"/>
    <numFmt numFmtId="170" formatCode="_(* #,##0_);_(* \(#,##0\);_(* &quot;-&quot;_);_(@_)"/>
    <numFmt numFmtId="171" formatCode="_-* #,##0.0\ _T_L_-;\-* #,##0.0\ _T_L_-;_-* &quot;-&quot;??\ _T_L_-;_-@_-"/>
    <numFmt numFmtId="172" formatCode="&quot;Evet&quot;;&quot;Evet&quot;;&quot;Hayır&quot;"/>
    <numFmt numFmtId="173" formatCode="&quot;Doğru&quot;;&quot;Doğru&quot;;&quot;Yanlış&quot;"/>
    <numFmt numFmtId="174" formatCode="&quot;Açık&quot;;&quot;Açık&quot;;&quot;Kapalı&quot;"/>
    <numFmt numFmtId="175" formatCode="_-* #,##0_-;\-* #,##0_-;_-* &quot;-&quot;??_-;_-@_-"/>
    <numFmt numFmtId="176" formatCode="[$-41F]dd\ mmmm\ yyyy\ dddd"/>
    <numFmt numFmtId="177" formatCode="#,##0.0\ &quot;TL&quot;"/>
    <numFmt numFmtId="178" formatCode="#,##0.00\ &quot;TL&quot;"/>
    <numFmt numFmtId="179" formatCode="00000"/>
    <numFmt numFmtId="180" formatCode="_-* #,##0.0_-;\-* #,##0.0_-;_-* &quot;-&quot;??_-;_-@_-"/>
    <numFmt numFmtId="181" formatCode="#,##0.000"/>
    <numFmt numFmtId="182" formatCode="#,##0.0\ &quot;TL&quot;;[Red]\-#,##0.0\ &quot;TL&quot;"/>
    <numFmt numFmtId="183" formatCode="0.0%"/>
    <numFmt numFmtId="184" formatCode="_-* #,##0.0\ _T_L_-;\-* #,##0.0\ _T_L_-;_-* &quot;-&quot;?\ _T_L_-;_-@_-"/>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mmmmm\ yy"/>
    <numFmt numFmtId="195" formatCode="mmmm\ yy"/>
    <numFmt numFmtId="196" formatCode="#,##0_ ;\-#,##0\ "/>
    <numFmt numFmtId="197" formatCode="#,##0.0000"/>
    <numFmt numFmtId="198" formatCode="_-* #,##0.0\ &quot;TL&quot;_-;\-* #,##0.0\ &quot;TL&quot;_-;_-* &quot;-&quot;\ &quot;TL&quot;_-;_-@_-"/>
    <numFmt numFmtId="199" formatCode="_-* #,##0.00\ &quot;TL&quot;_-;\-* #,##0.00\ &quot;TL&quot;_-;_-* &quot;-&quot;\ &quot;TL&quot;_-;_-@_-"/>
    <numFmt numFmtId="200" formatCode="_-* #,##0.000\ &quot;TL&quot;_-;\-* #,##0.000\ &quot;TL&quot;_-;_-* &quot;-&quot;\ &quot;TL&quot;_-;_-@_-"/>
    <numFmt numFmtId="201" formatCode="_-* #,##0.0000\ &quot;TL&quot;_-;\-* #,##0.0000\ &quot;TL&quot;_-;_-* &quot;-&quot;\ &quot;TL&quot;_-;_-@_-"/>
    <numFmt numFmtId="202" formatCode="_-* #,##0.00000\ &quot;TL&quot;_-;\-* #,##0.00000\ &quot;TL&quot;_-;_-* &quot;-&quot;\ &quot;TL&quot;_-;_-@_-"/>
    <numFmt numFmtId="203" formatCode="_-* #,##0.000000\ &quot;TL&quot;_-;\-* #,##0.000000\ &quot;TL&quot;_-;_-* &quot;-&quot;\ &quot;TL&quot;_-;_-@_-"/>
    <numFmt numFmtId="204" formatCode="_-* #,##0.0000000\ &quot;TL&quot;_-;\-* #,##0.0000000\ &quot;TL&quot;_-;_-* &quot;-&quot;\ &quot;TL&quot;_-;_-@_-"/>
    <numFmt numFmtId="205" formatCode="_-* #,##0.00000000\ &quot;TL&quot;_-;\-* #,##0.00000000\ &quot;TL&quot;_-;_-* &quot;-&quot;\ &quot;TL&quot;_-;_-@_-"/>
    <numFmt numFmtId="206" formatCode="_-* #,##0.000000000\ &quot;TL&quot;_-;\-* #,##0.000000000\ &quot;TL&quot;_-;_-* &quot;-&quot;\ &quot;TL&quot;_-;_-@_-"/>
    <numFmt numFmtId="207" formatCode="B2dd/mm/yyyy"/>
  </numFmts>
  <fonts count="119">
    <font>
      <sz val="10"/>
      <name val="Arial Tur"/>
      <family val="0"/>
    </font>
    <font>
      <u val="single"/>
      <sz val="10"/>
      <color indexed="36"/>
      <name val="Arial"/>
      <family val="0"/>
    </font>
    <font>
      <u val="single"/>
      <sz val="10"/>
      <color indexed="12"/>
      <name val="Arial"/>
      <family val="0"/>
    </font>
    <font>
      <sz val="8"/>
      <name val="Arial Tur"/>
      <family val="0"/>
    </font>
    <font>
      <sz val="9"/>
      <name val="Arial"/>
      <family val="2"/>
    </font>
    <font>
      <b/>
      <sz val="9"/>
      <name val="Arial"/>
      <family val="2"/>
    </font>
    <font>
      <b/>
      <sz val="11"/>
      <color indexed="12"/>
      <name val="Times New Roman"/>
      <family val="1"/>
    </font>
    <font>
      <sz val="11"/>
      <name val="Arial"/>
      <family val="2"/>
    </font>
    <font>
      <sz val="11"/>
      <name val="Arial Tur"/>
      <family val="0"/>
    </font>
    <font>
      <b/>
      <sz val="8"/>
      <name val="Arial"/>
      <family val="2"/>
    </font>
    <font>
      <b/>
      <sz val="10"/>
      <color indexed="8"/>
      <name val="Arial"/>
      <family val="2"/>
    </font>
    <font>
      <b/>
      <sz val="11"/>
      <color indexed="8"/>
      <name val="Arial"/>
      <family val="2"/>
    </font>
    <font>
      <b/>
      <sz val="12"/>
      <color indexed="8"/>
      <name val="Arial"/>
      <family val="2"/>
    </font>
    <font>
      <b/>
      <sz val="10"/>
      <name val="Arial Tur"/>
      <family val="0"/>
    </font>
    <font>
      <b/>
      <sz val="12"/>
      <name val="Times New Roman"/>
      <family val="1"/>
    </font>
    <font>
      <b/>
      <sz val="12"/>
      <name val="Arial Tur"/>
      <family val="0"/>
    </font>
    <font>
      <b/>
      <sz val="12"/>
      <color indexed="8"/>
      <name val="Times New Roman"/>
      <family val="1"/>
    </font>
    <font>
      <sz val="12"/>
      <name val="Arial Tur"/>
      <family val="0"/>
    </font>
    <font>
      <b/>
      <sz val="11"/>
      <name val="Arial"/>
      <family val="2"/>
    </font>
    <font>
      <sz val="8"/>
      <name val="Arial"/>
      <family val="2"/>
    </font>
    <font>
      <sz val="8"/>
      <name val="Times New Roman TUR"/>
      <family val="1"/>
    </font>
    <font>
      <sz val="9"/>
      <name val="Arial Tur"/>
      <family val="0"/>
    </font>
    <font>
      <b/>
      <sz val="9"/>
      <color indexed="8"/>
      <name val="Arial"/>
      <family val="2"/>
    </font>
    <font>
      <sz val="10"/>
      <color indexed="8"/>
      <name val="Arial"/>
      <family val="2"/>
    </font>
    <font>
      <sz val="12"/>
      <color indexed="8"/>
      <name val="Times New Roman"/>
      <family val="1"/>
    </font>
    <font>
      <b/>
      <sz val="12"/>
      <color indexed="12"/>
      <name val="Times New Roman"/>
      <family val="1"/>
    </font>
    <font>
      <b/>
      <sz val="8"/>
      <name val="Times New Roman TUR"/>
      <family val="1"/>
    </font>
    <font>
      <sz val="10"/>
      <name val="Arial"/>
      <family val="2"/>
    </font>
    <font>
      <b/>
      <sz val="10"/>
      <name val="Arial"/>
      <family val="2"/>
    </font>
    <font>
      <b/>
      <sz val="9.75"/>
      <name val="Arial Tur"/>
      <family val="0"/>
    </font>
    <font>
      <sz val="9.75"/>
      <name val="Arial Tur"/>
      <family val="0"/>
    </font>
    <font>
      <sz val="10.5"/>
      <name val="Arial Tur"/>
      <family val="0"/>
    </font>
    <font>
      <sz val="8.25"/>
      <name val="Arial Tur"/>
      <family val="0"/>
    </font>
    <font>
      <b/>
      <sz val="9"/>
      <name val="Arial Tur"/>
      <family val="0"/>
    </font>
    <font>
      <sz val="11.5"/>
      <name val="Arial Tur"/>
      <family val="2"/>
    </font>
    <font>
      <b/>
      <sz val="11.5"/>
      <name val="Arial Tur"/>
      <family val="0"/>
    </font>
    <font>
      <b/>
      <sz val="9.5"/>
      <name val="Arial Tur"/>
      <family val="0"/>
    </font>
    <font>
      <b/>
      <sz val="10"/>
      <color indexed="8"/>
      <name val="Times New Roman TUR"/>
      <family val="1"/>
    </font>
    <font>
      <b/>
      <sz val="10"/>
      <color indexed="48"/>
      <name val="Arial"/>
      <family val="2"/>
    </font>
    <font>
      <sz val="8.75"/>
      <name val="Arial Tur"/>
      <family val="0"/>
    </font>
    <font>
      <b/>
      <sz val="3.5"/>
      <name val="Arial Tur"/>
      <family val="0"/>
    </font>
    <font>
      <b/>
      <sz val="5.5"/>
      <name val="Arial Tur"/>
      <family val="0"/>
    </font>
    <font>
      <b/>
      <sz val="18"/>
      <name val="Arial"/>
      <family val="2"/>
    </font>
    <font>
      <b/>
      <sz val="9"/>
      <color indexed="21"/>
      <name val="Arial"/>
      <family val="2"/>
    </font>
    <font>
      <b/>
      <sz val="8"/>
      <name val="Arial Tur"/>
      <family val="0"/>
    </font>
    <font>
      <b/>
      <sz val="11"/>
      <color indexed="12"/>
      <name val="Arial"/>
      <family val="2"/>
    </font>
    <font>
      <b/>
      <sz val="8"/>
      <color indexed="10"/>
      <name val="Arial Tur"/>
      <family val="0"/>
    </font>
    <font>
      <b/>
      <sz val="10.25"/>
      <name val="Arial Tur"/>
      <family val="0"/>
    </font>
    <font>
      <b/>
      <sz val="5.75"/>
      <name val="Arial Tur"/>
      <family val="0"/>
    </font>
    <font>
      <b/>
      <sz val="5.75"/>
      <color indexed="16"/>
      <name val="Arial Tur"/>
      <family val="0"/>
    </font>
    <font>
      <b/>
      <sz val="5.75"/>
      <color indexed="53"/>
      <name val="Arial Tur"/>
      <family val="0"/>
    </font>
    <font>
      <b/>
      <sz val="11.25"/>
      <name val="Arial Tur"/>
      <family val="0"/>
    </font>
    <font>
      <b/>
      <sz val="11"/>
      <name val="Arial Tur"/>
      <family val="0"/>
    </font>
    <font>
      <b/>
      <sz val="12"/>
      <color indexed="48"/>
      <name val="Arial Tur"/>
      <family val="0"/>
    </font>
    <font>
      <b/>
      <sz val="10"/>
      <color indexed="12"/>
      <name val="Arial Tur"/>
      <family val="0"/>
    </font>
    <font>
      <b/>
      <sz val="9"/>
      <color indexed="12"/>
      <name val="Times New Roman"/>
      <family val="1"/>
    </font>
    <font>
      <sz val="14"/>
      <name val="Arial Tur"/>
      <family val="0"/>
    </font>
    <font>
      <b/>
      <sz val="14"/>
      <name val="Arial Tur"/>
      <family val="0"/>
    </font>
    <font>
      <b/>
      <sz val="14"/>
      <name val="Arial"/>
      <family val="2"/>
    </font>
    <font>
      <sz val="14"/>
      <name val="Arial"/>
      <family val="2"/>
    </font>
    <font>
      <b/>
      <sz val="2.5"/>
      <name val="Arial Tur"/>
      <family val="0"/>
    </font>
    <font>
      <sz val="2.5"/>
      <name val="Arial Tur"/>
      <family val="0"/>
    </font>
    <font>
      <sz val="2.25"/>
      <name val="Arial Tur"/>
      <family val="0"/>
    </font>
    <font>
      <sz val="12"/>
      <name val="Arial"/>
      <family val="2"/>
    </font>
    <font>
      <b/>
      <sz val="12"/>
      <name val="Arial"/>
      <family val="2"/>
    </font>
    <font>
      <b/>
      <u val="single"/>
      <sz val="12"/>
      <name val="Arial"/>
      <family val="2"/>
    </font>
    <font>
      <sz val="5.75"/>
      <name val="Arial Tur"/>
      <family val="0"/>
    </font>
    <font>
      <b/>
      <sz val="12"/>
      <color indexed="12"/>
      <name val="Arial"/>
      <family val="2"/>
    </font>
    <font>
      <b/>
      <sz val="14"/>
      <name val="Times New Roman"/>
      <family val="1"/>
    </font>
    <font>
      <sz val="14"/>
      <color indexed="8"/>
      <name val="Times New Roman"/>
      <family val="1"/>
    </font>
    <font>
      <b/>
      <sz val="14"/>
      <color indexed="8"/>
      <name val="Times New Roman"/>
      <family val="1"/>
    </font>
    <font>
      <b/>
      <sz val="16"/>
      <name val="Arial Tur"/>
      <family val="2"/>
    </font>
    <font>
      <b/>
      <sz val="20"/>
      <name val="Arial Tur"/>
      <family val="2"/>
    </font>
    <font>
      <sz val="7"/>
      <color indexed="8"/>
      <name val="Arial Tur"/>
      <family val="0"/>
    </font>
    <font>
      <b/>
      <sz val="7"/>
      <color indexed="60"/>
      <name val="Times New Roman"/>
      <family val="1"/>
    </font>
    <font>
      <b/>
      <i/>
      <sz val="12"/>
      <name val="Arial Tur"/>
      <family val="0"/>
    </font>
    <font>
      <sz val="18"/>
      <name val="Arial Tur"/>
      <family val="0"/>
    </font>
    <font>
      <b/>
      <sz val="8.25"/>
      <name val="Arial Tur"/>
      <family val="0"/>
    </font>
    <font>
      <b/>
      <sz val="8.75"/>
      <name val="Arial Tur"/>
      <family val="0"/>
    </font>
    <font>
      <sz val="7"/>
      <name val="Arial Tur"/>
      <family val="0"/>
    </font>
    <font>
      <sz val="10"/>
      <name val="Times New Roman"/>
      <family val="1"/>
    </font>
    <font>
      <sz val="11"/>
      <color indexed="8"/>
      <name val="Times New Roman"/>
      <family val="1"/>
    </font>
    <font>
      <b/>
      <u val="single"/>
      <sz val="10"/>
      <color indexed="8"/>
      <name val="Times New Roman"/>
      <family val="1"/>
    </font>
    <font>
      <sz val="10"/>
      <color indexed="8"/>
      <name val="Times New Roman"/>
      <family val="1"/>
    </font>
    <font>
      <b/>
      <sz val="10"/>
      <color indexed="8"/>
      <name val="Times New Roman"/>
      <family val="1"/>
    </font>
    <font>
      <b/>
      <sz val="11"/>
      <name val="Times New Roman Tur"/>
      <family val="1"/>
    </font>
    <font>
      <b/>
      <sz val="11"/>
      <color indexed="8"/>
      <name val="Times New Roman"/>
      <family val="1"/>
    </font>
    <font>
      <b/>
      <sz val="16"/>
      <color indexed="12"/>
      <name val="Times New Roman"/>
      <family val="1"/>
    </font>
    <font>
      <sz val="16"/>
      <name val="Arial Tur"/>
      <family val="0"/>
    </font>
    <font>
      <sz val="11"/>
      <name val="Times New Roman Tur"/>
      <family val="1"/>
    </font>
    <font>
      <sz val="14"/>
      <color indexed="9"/>
      <name val="Arial Tur"/>
      <family val="0"/>
    </font>
    <font>
      <sz val="8.5"/>
      <name val="Arial Tur"/>
      <family val="0"/>
    </font>
    <font>
      <sz val="11"/>
      <color indexed="8"/>
      <name val="Arial"/>
      <family val="2"/>
    </font>
    <font>
      <sz val="6"/>
      <color indexed="8"/>
      <name val="Arial Tur"/>
      <family val="0"/>
    </font>
    <font>
      <b/>
      <sz val="9"/>
      <color indexed="8"/>
      <name val="Times New Roman"/>
      <family val="1"/>
    </font>
    <font>
      <sz val="7"/>
      <name val="Times New Roman"/>
      <family val="1"/>
    </font>
    <font>
      <b/>
      <sz val="7"/>
      <color indexed="8"/>
      <name val="Arial Tur"/>
      <family val="0"/>
    </font>
    <font>
      <b/>
      <sz val="8"/>
      <color indexed="8"/>
      <name val="Times New Roman"/>
      <family val="1"/>
    </font>
    <font>
      <sz val="10.75"/>
      <name val="Arial Tur"/>
      <family val="0"/>
    </font>
    <font>
      <b/>
      <sz val="10"/>
      <name val="Times New Roman"/>
      <family val="1"/>
    </font>
    <font>
      <b/>
      <sz val="8.5"/>
      <name val="Arial Tur"/>
      <family val="0"/>
    </font>
    <font>
      <b/>
      <sz val="11"/>
      <name val="Times New Roman"/>
      <family val="1"/>
    </font>
    <font>
      <b/>
      <sz val="9.5"/>
      <name val="Arial"/>
      <family val="2"/>
    </font>
    <font>
      <b/>
      <sz val="9"/>
      <color indexed="18"/>
      <name val="Arial"/>
      <family val="2"/>
    </font>
    <font>
      <b/>
      <sz val="8"/>
      <color indexed="8"/>
      <name val="Arial"/>
      <family val="2"/>
    </font>
    <font>
      <b/>
      <sz val="9"/>
      <color indexed="8"/>
      <name val="Times New Roman TUR"/>
      <family val="1"/>
    </font>
    <font>
      <b/>
      <i/>
      <sz val="9"/>
      <name val="Arial Tur"/>
      <family val="0"/>
    </font>
    <font>
      <sz val="10"/>
      <color indexed="10"/>
      <name val="Arial Tur"/>
      <family val="0"/>
    </font>
    <font>
      <sz val="14"/>
      <color indexed="10"/>
      <name val="Arial Tur"/>
      <family val="0"/>
    </font>
    <font>
      <b/>
      <sz val="10"/>
      <color indexed="8"/>
      <name val="Arial Tur"/>
      <family val="0"/>
    </font>
    <font>
      <b/>
      <sz val="9"/>
      <color indexed="48"/>
      <name val="Arial"/>
      <family val="2"/>
    </font>
    <font>
      <b/>
      <sz val="9"/>
      <color indexed="10"/>
      <name val="Arial"/>
      <family val="2"/>
    </font>
    <font>
      <b/>
      <sz val="9"/>
      <name val="Times New Roman"/>
      <family val="1"/>
    </font>
    <font>
      <b/>
      <sz val="8"/>
      <color indexed="18"/>
      <name val="Arial"/>
      <family val="2"/>
    </font>
    <font>
      <sz val="10"/>
      <color indexed="8"/>
      <name val="Arial Tur"/>
      <family val="0"/>
    </font>
    <font>
      <b/>
      <sz val="8"/>
      <color indexed="8"/>
      <name val="Times New Roman TUR"/>
      <family val="1"/>
    </font>
    <font>
      <sz val="8"/>
      <color indexed="8"/>
      <name val="Arial"/>
      <family val="2"/>
    </font>
    <font>
      <sz val="11"/>
      <color indexed="8"/>
      <name val="Times New Roman Tur"/>
      <family val="1"/>
    </font>
    <font>
      <sz val="10"/>
      <color indexed="9"/>
      <name val="Arial Tur"/>
      <family val="0"/>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s>
  <borders count="166">
    <border>
      <left/>
      <right/>
      <top/>
      <bottom/>
      <diagonal/>
    </border>
    <border>
      <left>
        <color indexed="63"/>
      </left>
      <right>
        <color indexed="63"/>
      </right>
      <top>
        <color indexed="63"/>
      </top>
      <bottom style="thin"/>
    </border>
    <border>
      <left style="thin"/>
      <right style="thin"/>
      <top style="thin"/>
      <bottom style="thin"/>
    </border>
    <border>
      <left style="medium"/>
      <right style="medium"/>
      <top style="thin"/>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color indexed="63"/>
      </top>
      <bottom style="thin"/>
    </border>
    <border>
      <left style="medium"/>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style="dotted"/>
      <right style="dotted"/>
      <top style="thin"/>
      <bottom style="dotted"/>
    </border>
    <border>
      <left style="dotted"/>
      <right style="thin"/>
      <top style="thin"/>
      <bottom style="dotted"/>
    </border>
    <border>
      <left>
        <color indexed="63"/>
      </left>
      <right style="medium"/>
      <top style="medium"/>
      <bottom style="thin"/>
    </border>
    <border>
      <left>
        <color indexed="63"/>
      </left>
      <right style="medium"/>
      <top style="thin"/>
      <bottom style="medium"/>
    </border>
    <border>
      <left>
        <color indexed="63"/>
      </left>
      <right style="medium"/>
      <top>
        <color indexed="63"/>
      </top>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medium"/>
    </border>
    <border>
      <left style="medium"/>
      <right style="thin"/>
      <top style="dotted"/>
      <bottom style="dotted"/>
    </border>
    <border>
      <left style="thin"/>
      <right style="medium"/>
      <top style="dotted"/>
      <bottom style="dotted"/>
    </border>
    <border>
      <left style="thin"/>
      <right style="medium"/>
      <top style="dotted"/>
      <bottom style="medium"/>
    </border>
    <border>
      <left>
        <color indexed="63"/>
      </left>
      <right>
        <color indexed="63"/>
      </right>
      <top>
        <color indexed="63"/>
      </top>
      <bottom style="medium"/>
    </border>
    <border>
      <left style="medium"/>
      <right style="thin"/>
      <top style="dotted"/>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thin"/>
    </border>
    <border>
      <left style="medium"/>
      <right>
        <color indexed="63"/>
      </right>
      <top style="medium"/>
      <bottom style="thin"/>
    </border>
    <border>
      <left style="medium"/>
      <right>
        <color indexed="63"/>
      </right>
      <top style="thin"/>
      <bottom style="medium"/>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color indexed="18"/>
      </bottom>
    </border>
    <border>
      <left style="thin"/>
      <right>
        <color indexed="63"/>
      </right>
      <top>
        <color indexed="63"/>
      </top>
      <bottom style="thin"/>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color indexed="63"/>
      </top>
      <bottom style="hair"/>
    </border>
    <border>
      <left style="medium"/>
      <right style="hair"/>
      <top style="hair"/>
      <bottom style="medium"/>
    </border>
    <border>
      <left style="hair"/>
      <right style="medium"/>
      <top>
        <color indexed="63"/>
      </top>
      <bottom style="medium"/>
    </border>
    <border>
      <left style="medium"/>
      <right>
        <color indexed="63"/>
      </right>
      <top style="dotted"/>
      <bottom style="dotted"/>
    </border>
    <border>
      <left>
        <color indexed="63"/>
      </left>
      <right>
        <color indexed="63"/>
      </right>
      <top style="hair"/>
      <bottom style="hair"/>
    </border>
    <border>
      <left style="medium"/>
      <right>
        <color indexed="63"/>
      </right>
      <top>
        <color indexed="63"/>
      </top>
      <bottom style="dotted"/>
    </border>
    <border>
      <left>
        <color indexed="63"/>
      </left>
      <right style="hair"/>
      <top style="hair"/>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color indexed="63"/>
      </left>
      <right style="hair"/>
      <top style="hair"/>
      <bottom style="medium"/>
    </border>
    <border>
      <left style="hair"/>
      <right>
        <color indexed="63"/>
      </right>
      <top style="hair"/>
      <bottom style="medium"/>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color indexed="63"/>
      </bottom>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medium"/>
      <right style="thin"/>
      <top>
        <color indexed="63"/>
      </top>
      <bottom style="dotted"/>
    </border>
    <border>
      <left style="thin"/>
      <right style="medium"/>
      <top style="medium"/>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style="hair"/>
      <bottom>
        <color indexed="63"/>
      </bottom>
    </border>
    <border>
      <left>
        <color indexed="63"/>
      </left>
      <right style="medium"/>
      <top>
        <color indexed="63"/>
      </top>
      <bottom style="hair"/>
    </border>
    <border>
      <left style="double"/>
      <right style="thin"/>
      <top style="thin"/>
      <bottom style="thin"/>
    </border>
    <border>
      <left style="double"/>
      <right style="double"/>
      <top style="thin"/>
      <bottom style="thin"/>
    </border>
    <border>
      <left style="double"/>
      <right style="double"/>
      <top style="thin"/>
      <bottom style="double"/>
    </border>
    <border>
      <left style="double"/>
      <right style="double"/>
      <top>
        <color indexed="63"/>
      </top>
      <bottom style="double"/>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double"/>
      <right style="double"/>
      <top style="double"/>
      <bottom style="thin"/>
    </border>
    <border>
      <left style="thin"/>
      <right style="dotted"/>
      <top style="thin"/>
      <bottom style="dotted"/>
    </border>
    <border>
      <left>
        <color indexed="63"/>
      </left>
      <right style="dotted"/>
      <top style="dotted"/>
      <bottom style="dotted"/>
    </border>
    <border>
      <left style="dotted"/>
      <right style="thin"/>
      <top style="dotted"/>
      <bottom style="dotted"/>
    </border>
    <border>
      <left style="dotted"/>
      <right style="dotted"/>
      <top style="dotted"/>
      <bottom style="dotted"/>
    </border>
    <border>
      <left style="dotted"/>
      <right style="dotted"/>
      <top style="dotted"/>
      <bottom style="thin"/>
    </border>
    <border>
      <left style="dotted"/>
      <right style="thin"/>
      <top style="dotted"/>
      <bottom style="thin"/>
    </border>
    <border>
      <left>
        <color indexed="63"/>
      </left>
      <right style="thin"/>
      <top style="medium"/>
      <bottom style="thin"/>
    </border>
    <border>
      <left>
        <color indexed="63"/>
      </left>
      <right style="thin"/>
      <top style="thin"/>
      <bottom style="thin"/>
    </border>
    <border>
      <left style="medium"/>
      <right style="medium"/>
      <top style="thin"/>
      <bottom style="medium"/>
    </border>
    <border>
      <left style="double"/>
      <right style="thin"/>
      <top style="thin"/>
      <bottom style="double"/>
    </border>
    <border>
      <left>
        <color indexed="63"/>
      </left>
      <right>
        <color indexed="63"/>
      </right>
      <top style="thin"/>
      <bottom style="thin"/>
    </border>
    <border>
      <left>
        <color indexed="63"/>
      </left>
      <right style="medium"/>
      <top style="thin"/>
      <bottom style="thin"/>
    </border>
    <border>
      <left>
        <color indexed="63"/>
      </left>
      <right style="hair"/>
      <top style="medium"/>
      <bottom style="hair"/>
    </border>
    <border>
      <left style="hair"/>
      <right>
        <color indexed="63"/>
      </right>
      <top style="medium"/>
      <bottom style="hair"/>
    </border>
    <border>
      <left style="double"/>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style="medium"/>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medium"/>
      <bottom style="thin"/>
    </border>
    <border>
      <left style="thin"/>
      <right>
        <color indexed="63"/>
      </right>
      <top style="thin"/>
      <bottom style="medium"/>
    </border>
    <border>
      <left style="thin"/>
      <right>
        <color indexed="63"/>
      </right>
      <top style="medium"/>
      <bottom style="thin"/>
    </border>
    <border>
      <left style="medium"/>
      <right>
        <color indexed="63"/>
      </right>
      <top style="medium"/>
      <bottom style="hair"/>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style="hair"/>
      <bottom style="medium"/>
    </border>
    <border>
      <left style="medium"/>
      <right style="medium"/>
      <top style="medium"/>
      <bottom style="thin"/>
    </border>
    <border>
      <left style="medium"/>
      <right style="medium"/>
      <top>
        <color indexed="63"/>
      </top>
      <bottom style="hair"/>
    </border>
    <border>
      <left>
        <color indexed="63"/>
      </left>
      <right style="medium"/>
      <top style="hair"/>
      <bottom style="hair"/>
    </border>
    <border>
      <left style="double"/>
      <right>
        <color indexed="63"/>
      </right>
      <top style="double"/>
      <bottom style="hair"/>
    </border>
    <border>
      <left style="double"/>
      <right>
        <color indexed="63"/>
      </right>
      <top style="double"/>
      <bottom>
        <color indexed="63"/>
      </bottom>
    </border>
    <border>
      <left style="double"/>
      <right style="double"/>
      <top style="double"/>
      <bottom>
        <color indexed="63"/>
      </bottom>
    </border>
    <border>
      <left style="double"/>
      <right style="double"/>
      <top style="double"/>
      <bottom style="double"/>
    </border>
    <border>
      <left style="double"/>
      <right style="double"/>
      <top style="double"/>
      <bottom style="hair"/>
    </border>
    <border>
      <left style="double"/>
      <right>
        <color indexed="63"/>
      </right>
      <top style="hair"/>
      <bottom style="hair"/>
    </border>
    <border>
      <left style="double"/>
      <right style="double"/>
      <top style="hair"/>
      <bottom style="hair"/>
    </border>
    <border>
      <left style="double"/>
      <right>
        <color indexed="63"/>
      </right>
      <top style="hair"/>
      <bottom style="double"/>
    </border>
    <border>
      <left style="double"/>
      <right style="double"/>
      <top style="hair"/>
      <bottom style="double"/>
    </border>
    <border>
      <left style="double"/>
      <right>
        <color indexed="63"/>
      </right>
      <top>
        <color indexed="63"/>
      </top>
      <bottom style="hair"/>
    </border>
    <border>
      <left style="double"/>
      <right style="double"/>
      <top>
        <color indexed="63"/>
      </top>
      <bottom style="hair"/>
    </border>
    <border>
      <left style="double"/>
      <right style="double"/>
      <top style="hair"/>
      <bottom>
        <color indexed="63"/>
      </bottom>
    </border>
    <border>
      <left style="double"/>
      <right>
        <color indexed="63"/>
      </right>
      <top style="hair"/>
      <bottom>
        <color indexed="63"/>
      </bottom>
    </border>
    <border>
      <left style="thin"/>
      <right>
        <color indexed="63"/>
      </right>
      <top>
        <color indexed="63"/>
      </top>
      <bottom style="dashed"/>
    </border>
    <border>
      <left style="thin"/>
      <right style="dashed"/>
      <top style="dashed"/>
      <bottom style="dashed"/>
    </border>
    <border>
      <left style="thin"/>
      <right style="dashed"/>
      <top style="dashed"/>
      <bottom style="thin"/>
    </border>
    <border>
      <left style="medium"/>
      <right style="thin"/>
      <top style="dotted"/>
      <bottom>
        <color indexed="63"/>
      </bottom>
    </border>
    <border>
      <left style="thin"/>
      <right style="medium"/>
      <top style="dotted"/>
      <bottom>
        <color indexed="63"/>
      </bottom>
    </border>
    <border>
      <left style="thin"/>
      <right style="medium"/>
      <top>
        <color indexed="63"/>
      </top>
      <bottom style="dotted"/>
    </border>
    <border>
      <left style="medium"/>
      <right>
        <color indexed="63"/>
      </right>
      <top style="medium"/>
      <bottom style="medium"/>
    </border>
    <border>
      <left>
        <color indexed="63"/>
      </left>
      <right style="medium"/>
      <top style="medium"/>
      <bottom style="medium"/>
    </border>
    <border>
      <left style="thin"/>
      <right style="dotted"/>
      <top style="thin"/>
      <bottom>
        <color indexed="63"/>
      </bottom>
    </border>
    <border>
      <left style="dotted"/>
      <right style="dotted"/>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style="medium"/>
      <right>
        <color indexed="63"/>
      </right>
      <top style="dotted"/>
      <bottom style="mediu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2">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3" fillId="0" borderId="0" xfId="0" applyFont="1" applyAlignment="1">
      <alignment/>
    </xf>
    <xf numFmtId="0" fontId="15" fillId="0" borderId="0" xfId="0" applyFont="1" applyAlignment="1">
      <alignment/>
    </xf>
    <xf numFmtId="0" fontId="17" fillId="0" borderId="0" xfId="0" applyFont="1" applyAlignment="1">
      <alignment/>
    </xf>
    <xf numFmtId="0" fontId="6" fillId="0" borderId="0" xfId="0" applyFont="1" applyAlignment="1">
      <alignment/>
    </xf>
    <xf numFmtId="0" fontId="25" fillId="0" borderId="0" xfId="0" applyFont="1" applyAlignment="1">
      <alignment/>
    </xf>
    <xf numFmtId="0" fontId="20" fillId="0" borderId="0" xfId="0" applyFont="1" applyAlignment="1">
      <alignment/>
    </xf>
    <xf numFmtId="0" fontId="26" fillId="0" borderId="0" xfId="0" applyFont="1" applyAlignment="1">
      <alignment/>
    </xf>
    <xf numFmtId="0" fontId="26" fillId="0" borderId="1" xfId="0" applyFont="1" applyBorder="1" applyAlignment="1">
      <alignment horizontal="center"/>
    </xf>
    <xf numFmtId="0" fontId="9" fillId="0" borderId="2" xfId="0" applyFont="1" applyBorder="1" applyAlignment="1">
      <alignment horizontal="center" vertical="center" wrapText="1"/>
    </xf>
    <xf numFmtId="0" fontId="27" fillId="0" borderId="0" xfId="0" applyFont="1" applyAlignment="1">
      <alignment/>
    </xf>
    <xf numFmtId="0" fontId="0" fillId="0" borderId="0" xfId="0" applyFont="1" applyAlignment="1">
      <alignment/>
    </xf>
    <xf numFmtId="0" fontId="0" fillId="0" borderId="0" xfId="0" applyFont="1" applyAlignment="1">
      <alignment/>
    </xf>
    <xf numFmtId="16" fontId="0" fillId="0" borderId="0" xfId="0" applyNumberFormat="1" applyAlignment="1">
      <alignment/>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168" fontId="22" fillId="2" borderId="4" xfId="15" applyNumberFormat="1" applyFont="1" applyFill="1" applyBorder="1" applyAlignment="1">
      <alignment horizontal="right" vertical="center"/>
    </xf>
    <xf numFmtId="168" fontId="22" fillId="2" borderId="5" xfId="15" applyNumberFormat="1" applyFont="1" applyFill="1" applyBorder="1" applyAlignment="1">
      <alignment horizontal="right" vertical="center"/>
    </xf>
    <xf numFmtId="168" fontId="22" fillId="2" borderId="6" xfId="15" applyNumberFormat="1" applyFont="1" applyFill="1" applyBorder="1" applyAlignment="1">
      <alignment horizontal="center" vertical="center"/>
    </xf>
    <xf numFmtId="168" fontId="22" fillId="2" borderId="7" xfId="15" applyNumberFormat="1" applyFont="1" applyFill="1" applyBorder="1" applyAlignment="1">
      <alignment horizontal="center" vertical="center"/>
    </xf>
    <xf numFmtId="168" fontId="22" fillId="2" borderId="3" xfId="15" applyNumberFormat="1" applyFont="1" applyFill="1" applyBorder="1" applyAlignment="1">
      <alignment horizontal="right" vertical="center"/>
    </xf>
    <xf numFmtId="168" fontId="22" fillId="2" borderId="8" xfId="15" applyNumberFormat="1" applyFont="1" applyFill="1" applyBorder="1" applyAlignment="1">
      <alignment horizontal="right" vertical="center"/>
    </xf>
    <xf numFmtId="0" fontId="22" fillId="2" borderId="4" xfId="0" applyFont="1" applyFill="1" applyBorder="1" applyAlignment="1">
      <alignment horizontal="centerContinuous" vertical="center"/>
    </xf>
    <xf numFmtId="0" fontId="22" fillId="2" borderId="9" xfId="0" applyFont="1" applyFill="1" applyBorder="1" applyAlignment="1">
      <alignment horizontal="centerContinuous" vertical="center"/>
    </xf>
    <xf numFmtId="168" fontId="22" fillId="2" borderId="9" xfId="15" applyNumberFormat="1" applyFont="1" applyFill="1" applyBorder="1" applyAlignment="1">
      <alignment horizontal="right" vertical="center"/>
    </xf>
    <xf numFmtId="168" fontId="22" fillId="2" borderId="10" xfId="15" applyNumberFormat="1" applyFont="1" applyFill="1" applyBorder="1" applyAlignment="1">
      <alignment horizontal="right" vertical="center"/>
    </xf>
    <xf numFmtId="168" fontId="22" fillId="2" borderId="11" xfId="15" applyNumberFormat="1" applyFont="1" applyFill="1" applyBorder="1" applyAlignment="1">
      <alignment horizontal="center" vertical="center"/>
    </xf>
    <xf numFmtId="168" fontId="22" fillId="2" borderId="12" xfId="15" applyNumberFormat="1" applyFont="1" applyFill="1" applyBorder="1" applyAlignment="1">
      <alignment horizontal="center" vertical="center"/>
    </xf>
    <xf numFmtId="0" fontId="21" fillId="0" borderId="0" xfId="0" applyFont="1" applyAlignment="1">
      <alignment/>
    </xf>
    <xf numFmtId="3" fontId="4" fillId="2" borderId="0" xfId="0" applyNumberFormat="1" applyFont="1" applyFill="1" applyBorder="1" applyAlignment="1">
      <alignment vertical="center"/>
    </xf>
    <xf numFmtId="0" fontId="5" fillId="2" borderId="0" xfId="0" applyFont="1" applyFill="1" applyBorder="1" applyAlignment="1">
      <alignment/>
    </xf>
    <xf numFmtId="0" fontId="3" fillId="0" borderId="0" xfId="0" applyFont="1" applyAlignment="1">
      <alignment/>
    </xf>
    <xf numFmtId="0" fontId="19" fillId="0" borderId="0" xfId="0" applyFont="1" applyAlignment="1">
      <alignment/>
    </xf>
    <xf numFmtId="167" fontId="27" fillId="2" borderId="13" xfId="15" applyNumberFormat="1" applyFont="1" applyFill="1" applyBorder="1" applyAlignment="1">
      <alignment horizontal="right" vertical="center"/>
    </xf>
    <xf numFmtId="167" fontId="27" fillId="2" borderId="14" xfId="15" applyNumberFormat="1" applyFont="1" applyFill="1" applyBorder="1" applyAlignment="1">
      <alignment horizontal="right" vertical="center"/>
    </xf>
    <xf numFmtId="167" fontId="27" fillId="2" borderId="15" xfId="15" applyNumberFormat="1" applyFont="1" applyFill="1" applyBorder="1" applyAlignment="1">
      <alignment horizontal="right" vertical="center"/>
    </xf>
    <xf numFmtId="168" fontId="27" fillId="2" borderId="8" xfId="15" applyNumberFormat="1" applyFont="1" applyFill="1" applyBorder="1" applyAlignment="1">
      <alignment horizontal="right" vertical="center"/>
    </xf>
    <xf numFmtId="168" fontId="27" fillId="2" borderId="14" xfId="15" applyNumberFormat="1" applyFont="1" applyFill="1" applyBorder="1" applyAlignment="1">
      <alignment horizontal="right" vertical="center"/>
    </xf>
    <xf numFmtId="168" fontId="28" fillId="2" borderId="8" xfId="15" applyNumberFormat="1" applyFont="1" applyFill="1" applyBorder="1" applyAlignment="1">
      <alignment horizontal="right" vertical="center"/>
    </xf>
    <xf numFmtId="167" fontId="27" fillId="2" borderId="16" xfId="15" applyNumberFormat="1" applyFont="1" applyFill="1" applyBorder="1" applyAlignment="1">
      <alignment horizontal="right" vertical="center"/>
    </xf>
    <xf numFmtId="167" fontId="27" fillId="2" borderId="17" xfId="15" applyNumberFormat="1" applyFont="1" applyFill="1" applyBorder="1" applyAlignment="1">
      <alignment horizontal="right" vertical="center"/>
    </xf>
    <xf numFmtId="168" fontId="27" fillId="2" borderId="18" xfId="15" applyNumberFormat="1" applyFont="1" applyFill="1" applyBorder="1" applyAlignment="1">
      <alignment horizontal="right" vertical="center"/>
    </xf>
    <xf numFmtId="168" fontId="28" fillId="2" borderId="18" xfId="15" applyNumberFormat="1" applyFont="1" applyFill="1" applyBorder="1" applyAlignment="1">
      <alignment horizontal="right" vertical="center"/>
    </xf>
    <xf numFmtId="167" fontId="27" fillId="2" borderId="8" xfId="15" applyNumberFormat="1" applyFont="1" applyFill="1" applyBorder="1" applyAlignment="1">
      <alignment horizontal="right" vertical="center"/>
    </xf>
    <xf numFmtId="167" fontId="27" fillId="2" borderId="19" xfId="15" applyNumberFormat="1" applyFont="1" applyFill="1" applyBorder="1" applyAlignment="1">
      <alignment horizontal="right" vertical="center"/>
    </xf>
    <xf numFmtId="168" fontId="27" fillId="2" borderId="5" xfId="15" applyNumberFormat="1" applyFont="1" applyFill="1" applyBorder="1" applyAlignment="1">
      <alignment horizontal="right" vertical="center"/>
    </xf>
    <xf numFmtId="168" fontId="9" fillId="2" borderId="20" xfId="15" applyNumberFormat="1" applyFont="1" applyFill="1" applyBorder="1" applyAlignment="1">
      <alignment horizontal="center" vertical="center"/>
    </xf>
    <xf numFmtId="168" fontId="9" fillId="2" borderId="5" xfId="15" applyNumberFormat="1" applyFont="1" applyFill="1" applyBorder="1" applyAlignment="1">
      <alignment horizontal="center" vertical="center"/>
    </xf>
    <xf numFmtId="0" fontId="7" fillId="0" borderId="0" xfId="0" applyFont="1" applyAlignment="1">
      <alignment/>
    </xf>
    <xf numFmtId="0" fontId="44" fillId="0" borderId="0" xfId="0" applyFont="1" applyAlignment="1">
      <alignment/>
    </xf>
    <xf numFmtId="0" fontId="5" fillId="2" borderId="21" xfId="0" applyFont="1" applyFill="1" applyBorder="1" applyAlignment="1">
      <alignment horizontal="center" vertical="center"/>
    </xf>
    <xf numFmtId="0" fontId="5" fillId="2" borderId="22" xfId="0" applyFont="1" applyFill="1" applyBorder="1" applyAlignment="1">
      <alignment/>
    </xf>
    <xf numFmtId="0" fontId="5" fillId="2" borderId="23" xfId="0" applyFont="1" applyFill="1" applyBorder="1" applyAlignment="1">
      <alignment horizontal="center" vertical="center"/>
    </xf>
    <xf numFmtId="0" fontId="5" fillId="2" borderId="23" xfId="0" applyFont="1" applyFill="1" applyBorder="1" applyAlignment="1">
      <alignment horizontal="centerContinuous" vertical="center"/>
    </xf>
    <xf numFmtId="0" fontId="33" fillId="0" borderId="0" xfId="0" applyFont="1" applyAlignment="1">
      <alignment/>
    </xf>
    <xf numFmtId="0" fontId="26" fillId="0" borderId="2" xfId="0" applyFont="1" applyBorder="1" applyAlignment="1">
      <alignment horizontal="center"/>
    </xf>
    <xf numFmtId="0" fontId="26" fillId="2" borderId="2" xfId="0" applyFont="1" applyFill="1" applyBorder="1" applyAlignment="1">
      <alignment horizontal="center"/>
    </xf>
    <xf numFmtId="166" fontId="9" fillId="2" borderId="2" xfId="15" applyNumberFormat="1" applyFont="1" applyFill="1" applyBorder="1" applyAlignment="1">
      <alignment horizontal="center" vertical="center" wrapText="1"/>
    </xf>
    <xf numFmtId="166" fontId="19" fillId="2" borderId="2" xfId="15" applyNumberFormat="1" applyFont="1" applyFill="1" applyBorder="1" applyAlignment="1">
      <alignment horizontal="center" vertical="center" wrapText="1"/>
    </xf>
    <xf numFmtId="166" fontId="9" fillId="2" borderId="2" xfId="15" applyNumberFormat="1" applyFont="1" applyFill="1" applyBorder="1" applyAlignment="1">
      <alignment horizontal="center" vertical="center"/>
    </xf>
    <xf numFmtId="167" fontId="9" fillId="2" borderId="2" xfId="15" applyNumberFormat="1" applyFont="1" applyFill="1" applyBorder="1" applyAlignment="1">
      <alignment horizontal="center" vertical="center" wrapText="1"/>
    </xf>
    <xf numFmtId="167" fontId="19" fillId="2" borderId="2" xfId="15" applyNumberFormat="1" applyFont="1" applyFill="1" applyBorder="1" applyAlignment="1">
      <alignment horizontal="center" vertical="center" wrapText="1"/>
    </xf>
    <xf numFmtId="167" fontId="9" fillId="2" borderId="2" xfId="15" applyNumberFormat="1" applyFont="1" applyFill="1" applyBorder="1" applyAlignment="1">
      <alignment horizontal="center" vertical="center"/>
    </xf>
    <xf numFmtId="0" fontId="53" fillId="3" borderId="0" xfId="0" applyFont="1" applyFill="1" applyAlignment="1">
      <alignment/>
    </xf>
    <xf numFmtId="0" fontId="54" fillId="0" borderId="0" xfId="0" applyFont="1" applyAlignment="1">
      <alignment/>
    </xf>
    <xf numFmtId="0" fontId="55" fillId="0" borderId="0" xfId="0"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0" xfId="0" applyAlignment="1">
      <alignment/>
    </xf>
    <xf numFmtId="0" fontId="14" fillId="0" borderId="0" xfId="0" applyFont="1" applyAlignment="1">
      <alignment/>
    </xf>
    <xf numFmtId="0" fontId="13" fillId="2" borderId="24" xfId="0" applyFont="1" applyFill="1" applyBorder="1" applyAlignment="1">
      <alignment/>
    </xf>
    <xf numFmtId="0" fontId="13" fillId="2" borderId="25" xfId="0" applyFont="1" applyFill="1" applyBorder="1" applyAlignment="1">
      <alignment/>
    </xf>
    <xf numFmtId="0" fontId="56" fillId="0" borderId="0" xfId="0" applyFont="1" applyAlignment="1">
      <alignment/>
    </xf>
    <xf numFmtId="0" fontId="57" fillId="0" borderId="0" xfId="0" applyFont="1" applyAlignment="1">
      <alignment/>
    </xf>
    <xf numFmtId="0" fontId="59" fillId="3" borderId="0" xfId="0" applyFont="1" applyFill="1" applyAlignment="1">
      <alignment/>
    </xf>
    <xf numFmtId="3" fontId="58" fillId="3" borderId="0" xfId="0" applyNumberFormat="1" applyFont="1" applyFill="1" applyAlignment="1">
      <alignment horizontal="center"/>
    </xf>
    <xf numFmtId="3" fontId="58" fillId="3" borderId="0" xfId="0" applyNumberFormat="1" applyFont="1" applyFill="1" applyAlignment="1">
      <alignment/>
    </xf>
    <xf numFmtId="0" fontId="56" fillId="3" borderId="0" xfId="0" applyFont="1" applyFill="1" applyAlignment="1">
      <alignment/>
    </xf>
    <xf numFmtId="0" fontId="64" fillId="2" borderId="26" xfId="0" applyFont="1" applyFill="1" applyBorder="1" applyAlignment="1">
      <alignment/>
    </xf>
    <xf numFmtId="0" fontId="64" fillId="2" borderId="27" xfId="0" applyFont="1" applyFill="1" applyBorder="1" applyAlignment="1">
      <alignment/>
    </xf>
    <xf numFmtId="0" fontId="12" fillId="0" borderId="0" xfId="0" applyFont="1" applyAlignment="1">
      <alignment/>
    </xf>
    <xf numFmtId="0" fontId="63" fillId="0" borderId="0" xfId="0" applyFont="1" applyAlignment="1">
      <alignment/>
    </xf>
    <xf numFmtId="0" fontId="17" fillId="0" borderId="28" xfId="0" applyFont="1" applyBorder="1" applyAlignment="1">
      <alignment/>
    </xf>
    <xf numFmtId="0" fontId="17" fillId="0" borderId="29" xfId="0" applyFont="1" applyBorder="1" applyAlignment="1">
      <alignment/>
    </xf>
    <xf numFmtId="0" fontId="13" fillId="2" borderId="30" xfId="0" applyFont="1" applyFill="1" applyBorder="1" applyAlignment="1">
      <alignment/>
    </xf>
    <xf numFmtId="0" fontId="13" fillId="2" borderId="31" xfId="0" applyFont="1" applyFill="1" applyBorder="1" applyAlignment="1">
      <alignment/>
    </xf>
    <xf numFmtId="0" fontId="13" fillId="2" borderId="32" xfId="0" applyFont="1" applyFill="1" applyBorder="1" applyAlignment="1">
      <alignment/>
    </xf>
    <xf numFmtId="0" fontId="13" fillId="2" borderId="33" xfId="0" applyFont="1" applyFill="1" applyBorder="1" applyAlignment="1">
      <alignment/>
    </xf>
    <xf numFmtId="0" fontId="17" fillId="0" borderId="8" xfId="0" applyFont="1" applyBorder="1" applyAlignment="1">
      <alignment horizontal="center"/>
    </xf>
    <xf numFmtId="0" fontId="17" fillId="0" borderId="34" xfId="0" applyFont="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0" fontId="68" fillId="0" borderId="0" xfId="0" applyFont="1" applyAlignment="1">
      <alignment/>
    </xf>
    <xf numFmtId="2" fontId="17" fillId="0" borderId="15" xfId="0" applyNumberFormat="1" applyFont="1" applyBorder="1" applyAlignment="1">
      <alignment/>
    </xf>
    <xf numFmtId="2" fontId="17" fillId="0" borderId="37" xfId="0" applyNumberFormat="1" applyFont="1" applyBorder="1" applyAlignment="1">
      <alignment/>
    </xf>
    <xf numFmtId="0" fontId="67" fillId="0" borderId="0" xfId="0" applyFont="1" applyAlignment="1">
      <alignment/>
    </xf>
    <xf numFmtId="0" fontId="28" fillId="0" borderId="0" xfId="0" applyFont="1" applyAlignment="1">
      <alignment wrapText="1"/>
    </xf>
    <xf numFmtId="0" fontId="0" fillId="0" borderId="0" xfId="0" applyAlignment="1">
      <alignment wrapText="1"/>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0" fillId="0" borderId="0" xfId="0" applyAlignment="1">
      <alignment horizontal="center"/>
    </xf>
    <xf numFmtId="0" fontId="73" fillId="0" borderId="38" xfId="0" applyFont="1" applyBorder="1" applyAlignment="1">
      <alignment horizontal="center"/>
    </xf>
    <xf numFmtId="0" fontId="73" fillId="0" borderId="39" xfId="0" applyFont="1" applyBorder="1" applyAlignment="1">
      <alignment horizontal="center"/>
    </xf>
    <xf numFmtId="0" fontId="73" fillId="0" borderId="40" xfId="0" applyFont="1" applyBorder="1" applyAlignment="1">
      <alignment horizontal="center"/>
    </xf>
    <xf numFmtId="0" fontId="73" fillId="0" borderId="9" xfId="0" applyFont="1" applyBorder="1" applyAlignment="1">
      <alignment horizontal="center"/>
    </xf>
    <xf numFmtId="0" fontId="73" fillId="0" borderId="0" xfId="0" applyFont="1" applyBorder="1" applyAlignment="1">
      <alignment horizontal="center"/>
    </xf>
    <xf numFmtId="0" fontId="24" fillId="0" borderId="0" xfId="0" applyFont="1" applyAlignment="1">
      <alignment horizontal="center"/>
    </xf>
    <xf numFmtId="0" fontId="0" fillId="0" borderId="0" xfId="0" applyAlignment="1">
      <alignment horizontal="left"/>
    </xf>
    <xf numFmtId="0" fontId="69" fillId="0" borderId="0" xfId="0" applyFont="1" applyAlignment="1">
      <alignment/>
    </xf>
    <xf numFmtId="0" fontId="76" fillId="0" borderId="0" xfId="0" applyFont="1" applyAlignment="1">
      <alignment/>
    </xf>
    <xf numFmtId="0" fontId="5" fillId="4" borderId="8" xfId="0" applyFont="1" applyFill="1" applyBorder="1" applyAlignment="1">
      <alignment horizontal="center" vertical="center"/>
    </xf>
    <xf numFmtId="164" fontId="5" fillId="4" borderId="2" xfId="15" applyNumberFormat="1" applyFont="1" applyFill="1" applyBorder="1" applyAlignment="1">
      <alignment horizontal="center" vertical="center"/>
    </xf>
    <xf numFmtId="0" fontId="5" fillId="4" borderId="34" xfId="0" applyFont="1" applyFill="1" applyBorder="1" applyAlignment="1">
      <alignment horizontal="center" vertical="center"/>
    </xf>
    <xf numFmtId="164" fontId="5" fillId="4" borderId="41" xfId="15" applyNumberFormat="1" applyFont="1" applyFill="1" applyBorder="1" applyAlignment="1">
      <alignment horizontal="center" vertical="center"/>
    </xf>
    <xf numFmtId="0" fontId="13" fillId="0" borderId="0" xfId="0" applyFont="1" applyAlignment="1">
      <alignment horizontal="left"/>
    </xf>
    <xf numFmtId="0" fontId="28" fillId="0" borderId="0" xfId="0" applyFont="1" applyAlignment="1">
      <alignment horizontal="right" wrapText="1"/>
    </xf>
    <xf numFmtId="0" fontId="38" fillId="3" borderId="0" xfId="0" applyFont="1" applyFill="1" applyBorder="1" applyAlignment="1">
      <alignment/>
    </xf>
    <xf numFmtId="164" fontId="27" fillId="3" borderId="0" xfId="15"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5" borderId="0" xfId="0" applyFont="1" applyFill="1" applyBorder="1" applyAlignment="1">
      <alignment/>
    </xf>
    <xf numFmtId="0" fontId="0" fillId="6" borderId="0" xfId="0" applyFont="1" applyFill="1" applyBorder="1" applyAlignment="1">
      <alignment/>
    </xf>
    <xf numFmtId="3" fontId="28" fillId="0" borderId="0" xfId="15" applyNumberFormat="1" applyFont="1" applyFill="1" applyBorder="1" applyAlignment="1">
      <alignment horizontal="right" vertical="center"/>
    </xf>
    <xf numFmtId="0" fontId="28" fillId="0" borderId="0" xfId="0" applyFont="1" applyFill="1" applyBorder="1" applyAlignment="1">
      <alignment/>
    </xf>
    <xf numFmtId="0" fontId="28" fillId="0" borderId="0" xfId="0" applyFont="1" applyAlignment="1" quotePrefix="1">
      <alignment horizontal="right" wrapText="1"/>
    </xf>
    <xf numFmtId="0" fontId="90" fillId="0" borderId="0" xfId="0" applyFont="1" applyAlignment="1">
      <alignment/>
    </xf>
    <xf numFmtId="164" fontId="4" fillId="5" borderId="0" xfId="15" applyNumberFormat="1" applyFont="1" applyFill="1" applyBorder="1" applyAlignment="1">
      <alignment/>
    </xf>
    <xf numFmtId="3" fontId="4" fillId="5" borderId="42" xfId="15" applyNumberFormat="1" applyFont="1" applyFill="1" applyBorder="1" applyAlignment="1">
      <alignment horizontal="right" vertical="center"/>
    </xf>
    <xf numFmtId="3" fontId="5" fillId="5" borderId="42" xfId="15" applyNumberFormat="1" applyFont="1" applyFill="1" applyBorder="1" applyAlignment="1">
      <alignment horizontal="right" vertical="center"/>
    </xf>
    <xf numFmtId="164" fontId="5" fillId="5" borderId="0" xfId="15" applyNumberFormat="1" applyFont="1" applyFill="1" applyBorder="1" applyAlignment="1">
      <alignment/>
    </xf>
    <xf numFmtId="168" fontId="4" fillId="5" borderId="43" xfId="15" applyNumberFormat="1" applyFont="1" applyFill="1" applyBorder="1" applyAlignment="1">
      <alignment vertical="center"/>
    </xf>
    <xf numFmtId="168" fontId="4" fillId="5" borderId="43" xfId="15" applyNumberFormat="1" applyFont="1" applyFill="1" applyBorder="1" applyAlignment="1">
      <alignment horizontal="right" vertical="center"/>
    </xf>
    <xf numFmtId="168" fontId="5" fillId="5" borderId="44" xfId="15" applyNumberFormat="1" applyFont="1" applyFill="1" applyBorder="1" applyAlignment="1">
      <alignment horizontal="right" vertical="center"/>
    </xf>
    <xf numFmtId="164" fontId="5" fillId="5" borderId="45" xfId="15" applyNumberFormat="1" applyFont="1" applyFill="1" applyBorder="1" applyAlignment="1">
      <alignment/>
    </xf>
    <xf numFmtId="3" fontId="5" fillId="5" borderId="46" xfId="15" applyNumberFormat="1" applyFont="1" applyFill="1" applyBorder="1" applyAlignment="1">
      <alignment horizontal="right" vertical="center"/>
    </xf>
    <xf numFmtId="164" fontId="5" fillId="5" borderId="44" xfId="15" applyNumberFormat="1" applyFont="1" applyFill="1" applyBorder="1" applyAlignment="1">
      <alignment/>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xf>
    <xf numFmtId="3" fontId="5" fillId="5" borderId="42" xfId="15" applyNumberFormat="1" applyFont="1" applyFill="1" applyBorder="1" applyAlignment="1">
      <alignment horizontal="left" vertical="center"/>
    </xf>
    <xf numFmtId="0" fontId="17" fillId="0" borderId="50" xfId="0" applyFont="1" applyBorder="1" applyAlignment="1">
      <alignment/>
    </xf>
    <xf numFmtId="0" fontId="17" fillId="0" borderId="51" xfId="0" applyFont="1" applyBorder="1" applyAlignment="1">
      <alignment/>
    </xf>
    <xf numFmtId="0" fontId="17" fillId="0" borderId="13" xfId="0" applyFont="1" applyBorder="1" applyAlignment="1">
      <alignment/>
    </xf>
    <xf numFmtId="0" fontId="17" fillId="0" borderId="52" xfId="0" applyFont="1" applyBorder="1" applyAlignment="1">
      <alignment/>
    </xf>
    <xf numFmtId="168" fontId="89" fillId="2" borderId="53" xfId="0" applyNumberFormat="1" applyFont="1" applyFill="1" applyBorder="1" applyAlignment="1">
      <alignment horizontal="center" vertical="center"/>
    </xf>
    <xf numFmtId="0" fontId="10" fillId="0" borderId="0" xfId="0" applyFont="1" applyAlignment="1">
      <alignment/>
    </xf>
    <xf numFmtId="0" fontId="12" fillId="3" borderId="0" xfId="0" applyFont="1" applyFill="1" applyBorder="1" applyAlignment="1">
      <alignment horizontal="left" vertical="center" wrapText="1"/>
    </xf>
    <xf numFmtId="0" fontId="0" fillId="3" borderId="0" xfId="0" applyFill="1" applyBorder="1" applyAlignment="1">
      <alignment/>
    </xf>
    <xf numFmtId="0" fontId="0" fillId="2" borderId="39" xfId="0" applyFill="1" applyBorder="1" applyAlignment="1">
      <alignment/>
    </xf>
    <xf numFmtId="0" fontId="63" fillId="4" borderId="54" xfId="0" applyFont="1" applyFill="1" applyBorder="1" applyAlignment="1">
      <alignment/>
    </xf>
    <xf numFmtId="0" fontId="63" fillId="4" borderId="55" xfId="0" applyFont="1" applyFill="1" applyBorder="1" applyAlignment="1">
      <alignment/>
    </xf>
    <xf numFmtId="0" fontId="64" fillId="4" borderId="55" xfId="0" applyFont="1" applyFill="1" applyBorder="1" applyAlignment="1">
      <alignment/>
    </xf>
    <xf numFmtId="0" fontId="64" fillId="4" borderId="56" xfId="0" applyFont="1" applyFill="1" applyBorder="1" applyAlignment="1">
      <alignment/>
    </xf>
    <xf numFmtId="0" fontId="63" fillId="4" borderId="57" xfId="0" applyFont="1" applyFill="1" applyBorder="1" applyAlignment="1">
      <alignment/>
    </xf>
    <xf numFmtId="0" fontId="63" fillId="4" borderId="0" xfId="0" applyFont="1" applyFill="1" applyBorder="1" applyAlignment="1">
      <alignment/>
    </xf>
    <xf numFmtId="0" fontId="64" fillId="4" borderId="58" xfId="0" applyFont="1" applyFill="1" applyBorder="1" applyAlignment="1">
      <alignment/>
    </xf>
    <xf numFmtId="0" fontId="64" fillId="4" borderId="0" xfId="0" applyFont="1" applyFill="1" applyBorder="1" applyAlignment="1">
      <alignment/>
    </xf>
    <xf numFmtId="0" fontId="63" fillId="4" borderId="59" xfId="0" applyFont="1" applyFill="1" applyBorder="1" applyAlignment="1">
      <alignment/>
    </xf>
    <xf numFmtId="0" fontId="63" fillId="4" borderId="1" xfId="0" applyFont="1" applyFill="1" applyBorder="1" applyAlignment="1">
      <alignment/>
    </xf>
    <xf numFmtId="0" fontId="37" fillId="2" borderId="60" xfId="0" applyFont="1" applyFill="1" applyBorder="1" applyAlignment="1">
      <alignment horizontal="center" vertical="center" wrapText="1"/>
    </xf>
    <xf numFmtId="0" fontId="37" fillId="2" borderId="61" xfId="0" applyFont="1" applyFill="1" applyBorder="1" applyAlignment="1">
      <alignment horizontal="center" vertical="center" wrapText="1"/>
    </xf>
    <xf numFmtId="0" fontId="13" fillId="2" borderId="62" xfId="0" applyFont="1" applyFill="1" applyBorder="1" applyAlignment="1">
      <alignment/>
    </xf>
    <xf numFmtId="164" fontId="0" fillId="2" borderId="63" xfId="15" applyNumberFormat="1" applyFill="1" applyBorder="1" applyAlignment="1">
      <alignment/>
    </xf>
    <xf numFmtId="0" fontId="13" fillId="2" borderId="64" xfId="0" applyFont="1" applyFill="1" applyBorder="1" applyAlignment="1">
      <alignment/>
    </xf>
    <xf numFmtId="164" fontId="0" fillId="2" borderId="65" xfId="15" applyNumberFormat="1" applyFill="1" applyBorder="1" applyAlignment="1">
      <alignment/>
    </xf>
    <xf numFmtId="3" fontId="5" fillId="5" borderId="66" xfId="15" applyNumberFormat="1" applyFont="1" applyFill="1" applyBorder="1" applyAlignment="1">
      <alignment horizontal="right" vertical="center"/>
    </xf>
    <xf numFmtId="3" fontId="5" fillId="5" borderId="67" xfId="15" applyNumberFormat="1" applyFont="1" applyFill="1" applyBorder="1" applyAlignment="1">
      <alignment horizontal="right" vertical="center"/>
    </xf>
    <xf numFmtId="3" fontId="5" fillId="5" borderId="68" xfId="15" applyNumberFormat="1" applyFont="1" applyFill="1" applyBorder="1" applyAlignment="1">
      <alignment horizontal="right" vertical="center"/>
    </xf>
    <xf numFmtId="168" fontId="89" fillId="2" borderId="69" xfId="0" applyNumberFormat="1" applyFont="1" applyFill="1" applyBorder="1" applyAlignment="1">
      <alignment horizontal="right" vertical="center"/>
    </xf>
    <xf numFmtId="0" fontId="85" fillId="2" borderId="70" xfId="0" applyFont="1" applyFill="1" applyBorder="1" applyAlignment="1">
      <alignment horizontal="center" vertical="center"/>
    </xf>
    <xf numFmtId="0" fontId="85" fillId="2" borderId="71" xfId="0" applyFont="1" applyFill="1" applyBorder="1" applyAlignment="1">
      <alignment horizontal="center" vertical="center"/>
    </xf>
    <xf numFmtId="0" fontId="85" fillId="2" borderId="72" xfId="0" applyFont="1" applyFill="1" applyBorder="1" applyAlignment="1">
      <alignment horizontal="center" vertical="center"/>
    </xf>
    <xf numFmtId="168" fontId="89" fillId="2" borderId="70" xfId="0" applyNumberFormat="1" applyFont="1" applyFill="1" applyBorder="1" applyAlignment="1">
      <alignment horizontal="center" vertical="center"/>
    </xf>
    <xf numFmtId="168" fontId="89" fillId="2" borderId="71" xfId="0" applyNumberFormat="1" applyFont="1" applyFill="1" applyBorder="1" applyAlignment="1">
      <alignment horizontal="center" vertical="center"/>
    </xf>
    <xf numFmtId="168" fontId="85" fillId="2" borderId="71" xfId="0" applyNumberFormat="1" applyFont="1" applyFill="1" applyBorder="1" applyAlignment="1">
      <alignment horizontal="center" vertical="center"/>
    </xf>
    <xf numFmtId="168" fontId="85" fillId="2" borderId="72" xfId="0" applyNumberFormat="1" applyFont="1" applyFill="1" applyBorder="1" applyAlignment="1">
      <alignment horizontal="center" vertical="center"/>
    </xf>
    <xf numFmtId="168" fontId="89" fillId="2" borderId="73" xfId="0" applyNumberFormat="1" applyFont="1" applyFill="1" applyBorder="1" applyAlignment="1">
      <alignment horizontal="right" vertical="center"/>
    </xf>
    <xf numFmtId="168" fontId="89" fillId="2" borderId="74" xfId="0" applyNumberFormat="1" applyFont="1" applyFill="1" applyBorder="1" applyAlignment="1">
      <alignment horizontal="center" vertical="center"/>
    </xf>
    <xf numFmtId="167" fontId="26" fillId="2" borderId="2" xfId="0" applyNumberFormat="1" applyFont="1" applyFill="1" applyBorder="1" applyAlignment="1">
      <alignment horizontal="center"/>
    </xf>
    <xf numFmtId="167" fontId="9" fillId="2" borderId="2" xfId="15" applyNumberFormat="1" applyFont="1" applyFill="1" applyBorder="1" applyAlignment="1">
      <alignment horizontal="center" vertical="center" wrapText="1"/>
    </xf>
    <xf numFmtId="0" fontId="42" fillId="0" borderId="0" xfId="0" applyFont="1" applyAlignment="1">
      <alignment horizontal="center" wrapText="1"/>
    </xf>
    <xf numFmtId="3" fontId="5" fillId="5" borderId="75" xfId="15" applyNumberFormat="1" applyFont="1" applyFill="1" applyBorder="1" applyAlignment="1">
      <alignment horizontal="left" vertical="center"/>
    </xf>
    <xf numFmtId="3" fontId="5" fillId="5" borderId="76" xfId="15" applyNumberFormat="1" applyFont="1" applyFill="1" applyBorder="1" applyAlignment="1">
      <alignment horizontal="left" vertical="center"/>
    </xf>
    <xf numFmtId="3" fontId="5" fillId="5" borderId="77" xfId="15" applyNumberFormat="1" applyFont="1" applyFill="1" applyBorder="1" applyAlignment="1">
      <alignment horizontal="right" vertical="center"/>
    </xf>
    <xf numFmtId="0" fontId="0" fillId="0" borderId="0" xfId="0" applyFont="1" applyAlignment="1">
      <alignment/>
    </xf>
    <xf numFmtId="0" fontId="26" fillId="3" borderId="0" xfId="0" applyFont="1" applyFill="1" applyBorder="1" applyAlignment="1">
      <alignment horizontal="center"/>
    </xf>
    <xf numFmtId="166" fontId="9" fillId="3" borderId="0" xfId="15" applyNumberFormat="1" applyFont="1" applyFill="1" applyBorder="1" applyAlignment="1">
      <alignment horizontal="center" vertical="center"/>
    </xf>
    <xf numFmtId="0" fontId="26" fillId="0" borderId="0" xfId="0" applyFont="1" applyAlignment="1">
      <alignment horizontal="right"/>
    </xf>
    <xf numFmtId="0" fontId="0" fillId="2" borderId="0" xfId="0" applyFont="1" applyFill="1" applyBorder="1" applyAlignment="1">
      <alignment/>
    </xf>
    <xf numFmtId="0" fontId="0" fillId="2" borderId="0" xfId="0" applyFont="1" applyFill="1" applyBorder="1" applyAlignment="1">
      <alignment/>
    </xf>
    <xf numFmtId="0" fontId="0" fillId="2" borderId="22" xfId="0" applyFont="1" applyFill="1" applyBorder="1" applyAlignment="1">
      <alignment/>
    </xf>
    <xf numFmtId="0" fontId="0" fillId="2" borderId="45" xfId="0" applyFont="1" applyFill="1" applyBorder="1" applyAlignment="1">
      <alignment/>
    </xf>
    <xf numFmtId="0" fontId="0" fillId="2" borderId="47" xfId="0" applyFont="1" applyFill="1" applyBorder="1" applyAlignment="1">
      <alignment/>
    </xf>
    <xf numFmtId="0" fontId="83" fillId="2" borderId="78" xfId="0" applyFont="1" applyFill="1" applyBorder="1" applyAlignment="1">
      <alignment/>
    </xf>
    <xf numFmtId="0" fontId="0" fillId="2" borderId="78" xfId="0" applyFont="1" applyFill="1" applyBorder="1" applyAlignment="1">
      <alignment/>
    </xf>
    <xf numFmtId="0" fontId="0" fillId="2" borderId="78" xfId="0" applyFont="1" applyFill="1" applyBorder="1" applyAlignment="1">
      <alignment/>
    </xf>
    <xf numFmtId="0" fontId="0" fillId="2" borderId="48" xfId="0" applyFill="1" applyBorder="1" applyAlignment="1">
      <alignment/>
    </xf>
    <xf numFmtId="0" fontId="64" fillId="2" borderId="69" xfId="0" applyFont="1" applyFill="1" applyBorder="1" applyAlignment="1">
      <alignment/>
    </xf>
    <xf numFmtId="0" fontId="64" fillId="2" borderId="79" xfId="0" applyFont="1" applyFill="1" applyBorder="1" applyAlignment="1">
      <alignment/>
    </xf>
    <xf numFmtId="0" fontId="64" fillId="2" borderId="80" xfId="0" applyFont="1" applyFill="1" applyBorder="1" applyAlignment="1">
      <alignment/>
    </xf>
    <xf numFmtId="0" fontId="64" fillId="2" borderId="81" xfId="0" applyFont="1" applyFill="1" applyBorder="1" applyAlignment="1">
      <alignment/>
    </xf>
    <xf numFmtId="0" fontId="0" fillId="0" borderId="0" xfId="0" applyBorder="1" applyAlignment="1">
      <alignment wrapText="1"/>
    </xf>
    <xf numFmtId="3" fontId="4" fillId="5" borderId="82" xfId="15" applyNumberFormat="1" applyFont="1" applyFill="1" applyBorder="1" applyAlignment="1">
      <alignment horizontal="right" vertical="center"/>
    </xf>
    <xf numFmtId="0" fontId="5" fillId="2" borderId="45" xfId="0" applyFont="1" applyFill="1" applyBorder="1" applyAlignment="1">
      <alignment/>
    </xf>
    <xf numFmtId="168" fontId="4" fillId="5" borderId="83" xfId="15" applyNumberFormat="1" applyFont="1" applyFill="1" applyBorder="1" applyAlignment="1">
      <alignment horizontal="right" vertical="center"/>
    </xf>
    <xf numFmtId="168" fontId="5" fillId="5" borderId="43" xfId="15" applyNumberFormat="1" applyFont="1" applyFill="1" applyBorder="1" applyAlignment="1">
      <alignment vertical="center"/>
    </xf>
    <xf numFmtId="168" fontId="5" fillId="5" borderId="43" xfId="15" applyNumberFormat="1" applyFont="1" applyFill="1" applyBorder="1" applyAlignment="1">
      <alignment horizontal="right" vertical="center"/>
    </xf>
    <xf numFmtId="0" fontId="13" fillId="2" borderId="84" xfId="0" applyFont="1" applyFill="1" applyBorder="1" applyAlignment="1">
      <alignment/>
    </xf>
    <xf numFmtId="0" fontId="13" fillId="2" borderId="85" xfId="0" applyFont="1" applyFill="1" applyBorder="1" applyAlignment="1">
      <alignment/>
    </xf>
    <xf numFmtId="3" fontId="5" fillId="2" borderId="86" xfId="15" applyNumberFormat="1" applyFont="1" applyFill="1" applyBorder="1" applyAlignment="1">
      <alignment horizontal="right" vertical="center"/>
    </xf>
    <xf numFmtId="3" fontId="5" fillId="2" borderId="87" xfId="15" applyNumberFormat="1" applyFont="1" applyFill="1" applyBorder="1" applyAlignment="1">
      <alignment vertical="center"/>
    </xf>
    <xf numFmtId="3" fontId="5" fillId="2" borderId="88" xfId="15" applyNumberFormat="1" applyFont="1" applyFill="1" applyBorder="1" applyAlignment="1">
      <alignment horizontal="right" vertical="center"/>
    </xf>
    <xf numFmtId="3" fontId="5" fillId="2" borderId="89" xfId="15" applyNumberFormat="1" applyFont="1" applyFill="1" applyBorder="1" applyAlignment="1">
      <alignment vertical="center"/>
    </xf>
    <xf numFmtId="0" fontId="10" fillId="0" borderId="0" xfId="0" applyFont="1" applyAlignment="1">
      <alignment horizontal="left" wrapText="1"/>
    </xf>
    <xf numFmtId="0" fontId="0" fillId="0" borderId="0" xfId="0" applyBorder="1" applyAlignment="1">
      <alignment horizontal="center"/>
    </xf>
    <xf numFmtId="0" fontId="93" fillId="0" borderId="39" xfId="0" applyFont="1" applyBorder="1" applyAlignment="1">
      <alignment horizontal="center"/>
    </xf>
    <xf numFmtId="0" fontId="28" fillId="0" borderId="45" xfId="0" applyFont="1" applyBorder="1" applyAlignment="1">
      <alignment wrapText="1"/>
    </xf>
    <xf numFmtId="0" fontId="13" fillId="0" borderId="0" xfId="0" applyFont="1" applyAlignment="1">
      <alignment horizontal="center"/>
    </xf>
    <xf numFmtId="0" fontId="13" fillId="0" borderId="0" xfId="0" applyFont="1" applyAlignment="1" quotePrefix="1">
      <alignment horizontal="center"/>
    </xf>
    <xf numFmtId="0" fontId="9" fillId="2" borderId="39" xfId="0" applyFont="1" applyFill="1" applyBorder="1" applyAlignment="1">
      <alignment horizontal="center" vertical="center"/>
    </xf>
    <xf numFmtId="0" fontId="9"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Continuous" vertical="center"/>
    </xf>
    <xf numFmtId="0" fontId="28" fillId="2" borderId="40" xfId="0" applyFont="1" applyFill="1" applyBorder="1" applyAlignment="1">
      <alignment horizontal="centerContinuous" vertical="center"/>
    </xf>
    <xf numFmtId="0" fontId="28" fillId="2" borderId="3" xfId="0" applyFont="1" applyFill="1" applyBorder="1" applyAlignment="1">
      <alignment horizontal="centerContinuous" vertical="center"/>
    </xf>
    <xf numFmtId="3" fontId="92" fillId="0" borderId="90" xfId="15" applyNumberFormat="1" applyFont="1" applyBorder="1" applyAlignment="1">
      <alignment horizontal="right" vertical="center"/>
    </xf>
    <xf numFmtId="3" fontId="92" fillId="0" borderId="91" xfId="15" applyNumberFormat="1" applyFont="1" applyBorder="1" applyAlignment="1">
      <alignment horizontal="right" vertical="center"/>
    </xf>
    <xf numFmtId="166" fontId="11" fillId="0" borderId="91" xfId="15" applyNumberFormat="1" applyFont="1" applyBorder="1" applyAlignment="1">
      <alignment vertical="center"/>
    </xf>
    <xf numFmtId="166" fontId="11" fillId="0" borderId="92" xfId="15" applyNumberFormat="1" applyFont="1" applyBorder="1" applyAlignment="1">
      <alignment vertical="center"/>
    </xf>
    <xf numFmtId="3" fontId="11" fillId="2" borderId="93" xfId="15" applyNumberFormat="1" applyFont="1" applyFill="1" applyBorder="1" applyAlignment="1">
      <alignment horizontal="center" vertical="center"/>
    </xf>
    <xf numFmtId="1" fontId="17" fillId="0" borderId="0" xfId="0" applyNumberFormat="1" applyFont="1" applyAlignment="1">
      <alignment/>
    </xf>
    <xf numFmtId="0" fontId="81" fillId="2" borderId="0" xfId="0" applyFont="1" applyFill="1" applyBorder="1" applyAlignment="1">
      <alignment/>
    </xf>
    <xf numFmtId="0" fontId="81" fillId="2" borderId="23" xfId="0" applyFont="1" applyFill="1" applyBorder="1" applyAlignment="1">
      <alignment/>
    </xf>
    <xf numFmtId="0" fontId="81" fillId="2" borderId="23" xfId="0" applyFont="1" applyFill="1" applyBorder="1" applyAlignment="1">
      <alignment/>
    </xf>
    <xf numFmtId="0" fontId="28" fillId="0" borderId="45" xfId="0" applyFont="1" applyBorder="1" applyAlignment="1">
      <alignment horizontal="center" wrapText="1"/>
    </xf>
    <xf numFmtId="41" fontId="64" fillId="4" borderId="0" xfId="0" applyNumberFormat="1" applyFont="1" applyFill="1" applyBorder="1" applyAlignment="1">
      <alignment horizontal="center"/>
    </xf>
    <xf numFmtId="41" fontId="64" fillId="4" borderId="94" xfId="0" applyNumberFormat="1" applyFont="1" applyFill="1" applyBorder="1" applyAlignment="1">
      <alignment horizontal="center"/>
    </xf>
    <xf numFmtId="41" fontId="64" fillId="4" borderId="45" xfId="0" applyNumberFormat="1" applyFont="1" applyFill="1" applyBorder="1" applyAlignment="1">
      <alignment horizontal="center"/>
    </xf>
    <xf numFmtId="41" fontId="64" fillId="4" borderId="95" xfId="0" applyNumberFormat="1" applyFont="1" applyFill="1" applyBorder="1" applyAlignment="1">
      <alignment horizontal="center"/>
    </xf>
    <xf numFmtId="41" fontId="64" fillId="4" borderId="0" xfId="0" applyNumberFormat="1" applyFont="1" applyFill="1" applyBorder="1" applyAlignment="1">
      <alignment horizontal="right"/>
    </xf>
    <xf numFmtId="41" fontId="64" fillId="4" borderId="94" xfId="0" applyNumberFormat="1" applyFont="1" applyFill="1" applyBorder="1" applyAlignment="1">
      <alignment horizontal="right"/>
    </xf>
    <xf numFmtId="41" fontId="64" fillId="4" borderId="45" xfId="0" applyNumberFormat="1" applyFont="1" applyFill="1" applyBorder="1" applyAlignment="1">
      <alignment horizontal="right"/>
    </xf>
    <xf numFmtId="41" fontId="64" fillId="4" borderId="95" xfId="0" applyNumberFormat="1" applyFont="1" applyFill="1" applyBorder="1" applyAlignment="1">
      <alignment horizontal="right"/>
    </xf>
    <xf numFmtId="41" fontId="64" fillId="4" borderId="1" xfId="0" applyNumberFormat="1" applyFont="1" applyFill="1" applyBorder="1" applyAlignment="1">
      <alignment horizontal="center"/>
    </xf>
    <xf numFmtId="41" fontId="64" fillId="4" borderId="1" xfId="0" applyNumberFormat="1" applyFont="1" applyFill="1" applyBorder="1" applyAlignment="1">
      <alignment/>
    </xf>
    <xf numFmtId="41" fontId="64" fillId="4" borderId="96" xfId="0" applyNumberFormat="1" applyFont="1" applyFill="1" applyBorder="1" applyAlignment="1">
      <alignment horizontal="center"/>
    </xf>
    <xf numFmtId="0" fontId="64" fillId="4" borderId="97" xfId="0" applyFont="1" applyFill="1" applyBorder="1" applyAlignment="1">
      <alignment horizontal="center"/>
    </xf>
    <xf numFmtId="0" fontId="64" fillId="4" borderId="55" xfId="0" applyFont="1" applyFill="1" applyBorder="1" applyAlignment="1">
      <alignment horizontal="center"/>
    </xf>
    <xf numFmtId="0" fontId="64" fillId="4" borderId="98" xfId="0" applyFont="1" applyFill="1" applyBorder="1" applyAlignment="1">
      <alignment horizontal="center"/>
    </xf>
    <xf numFmtId="0" fontId="64" fillId="4" borderId="54" xfId="0" applyFont="1" applyFill="1" applyBorder="1" applyAlignment="1">
      <alignment/>
    </xf>
    <xf numFmtId="0" fontId="18" fillId="4" borderId="57" xfId="0" applyFont="1" applyFill="1" applyBorder="1" applyAlignment="1">
      <alignment/>
    </xf>
    <xf numFmtId="0" fontId="18" fillId="4" borderId="0" xfId="0" applyFont="1" applyFill="1" applyBorder="1" applyAlignment="1">
      <alignment/>
    </xf>
    <xf numFmtId="0" fontId="18" fillId="4" borderId="59" xfId="0" applyFont="1" applyFill="1" applyBorder="1" applyAlignment="1">
      <alignment/>
    </xf>
    <xf numFmtId="0" fontId="7" fillId="4" borderId="1" xfId="0" applyFont="1" applyFill="1" applyBorder="1" applyAlignment="1">
      <alignment/>
    </xf>
    <xf numFmtId="41" fontId="63" fillId="4" borderId="1" xfId="0" applyNumberFormat="1" applyFont="1" applyFill="1" applyBorder="1" applyAlignment="1">
      <alignment horizontal="center"/>
    </xf>
    <xf numFmtId="0" fontId="7" fillId="4" borderId="14" xfId="0" applyFont="1" applyFill="1" applyBorder="1" applyAlignment="1">
      <alignment/>
    </xf>
    <xf numFmtId="0" fontId="18" fillId="4" borderId="2" xfId="0" applyFont="1" applyFill="1" applyBorder="1" applyAlignment="1">
      <alignment/>
    </xf>
    <xf numFmtId="0" fontId="18" fillId="4" borderId="2" xfId="0" applyFont="1" applyFill="1" applyBorder="1" applyAlignment="1">
      <alignment horizontal="center"/>
    </xf>
    <xf numFmtId="3" fontId="18" fillId="4" borderId="2" xfId="0" applyNumberFormat="1" applyFont="1" applyFill="1" applyBorder="1" applyAlignment="1">
      <alignment horizontal="right"/>
    </xf>
    <xf numFmtId="0" fontId="56" fillId="0" borderId="0" xfId="0" applyFont="1" applyBorder="1" applyAlignment="1">
      <alignment/>
    </xf>
    <xf numFmtId="0" fontId="56" fillId="3" borderId="0" xfId="0" applyFont="1" applyFill="1" applyBorder="1" applyAlignment="1">
      <alignment/>
    </xf>
    <xf numFmtId="0" fontId="90" fillId="3" borderId="0" xfId="0" applyFont="1" applyFill="1" applyBorder="1" applyAlignment="1">
      <alignment/>
    </xf>
    <xf numFmtId="0" fontId="7" fillId="0" borderId="0" xfId="0" applyFont="1" applyBorder="1" applyAlignment="1">
      <alignment/>
    </xf>
    <xf numFmtId="0" fontId="10" fillId="0" borderId="99" xfId="0" applyFont="1" applyBorder="1" applyAlignment="1">
      <alignment horizontal="center" vertical="center" wrapText="1"/>
    </xf>
    <xf numFmtId="0" fontId="84" fillId="2" borderId="2" xfId="0" applyFont="1" applyFill="1" applyBorder="1" applyAlignment="1">
      <alignment horizontal="left" vertical="center"/>
    </xf>
    <xf numFmtId="166" fontId="83" fillId="2" borderId="2" xfId="15" applyNumberFormat="1" applyFont="1" applyFill="1" applyBorder="1" applyAlignment="1">
      <alignment horizontal="center" vertical="center"/>
    </xf>
    <xf numFmtId="168" fontId="83" fillId="2" borderId="2" xfId="15" applyNumberFormat="1" applyFont="1" applyFill="1" applyBorder="1" applyAlignment="1">
      <alignment horizontal="right" vertical="center"/>
    </xf>
    <xf numFmtId="166" fontId="83" fillId="2" borderId="2" xfId="15" applyNumberFormat="1" applyFont="1" applyFill="1" applyBorder="1" applyAlignment="1">
      <alignment horizontal="right" vertical="center"/>
    </xf>
    <xf numFmtId="0" fontId="84" fillId="2" borderId="2" xfId="0" applyFont="1" applyFill="1" applyBorder="1" applyAlignment="1">
      <alignment vertical="center" wrapText="1"/>
    </xf>
    <xf numFmtId="0" fontId="94" fillId="2" borderId="2" xfId="0" applyFont="1" applyFill="1" applyBorder="1" applyAlignment="1">
      <alignment horizontal="left" vertical="center" wrapText="1"/>
    </xf>
    <xf numFmtId="0" fontId="94" fillId="2" borderId="2" xfId="0" applyFont="1" applyFill="1" applyBorder="1" applyAlignment="1">
      <alignment horizontal="center" vertical="center" wrapText="1"/>
    </xf>
    <xf numFmtId="0" fontId="84" fillId="2" borderId="2" xfId="0" applyFont="1" applyFill="1" applyBorder="1" applyAlignment="1">
      <alignment horizontal="center" vertical="center"/>
    </xf>
    <xf numFmtId="3" fontId="84" fillId="2" borderId="2" xfId="15" applyNumberFormat="1" applyFont="1" applyFill="1" applyBorder="1" applyAlignment="1">
      <alignment horizontal="right" vertical="center"/>
    </xf>
    <xf numFmtId="0" fontId="84" fillId="2" borderId="6" xfId="0" applyFont="1" applyFill="1" applyBorder="1" applyAlignment="1">
      <alignment horizontal="centerContinuous" vertical="center"/>
    </xf>
    <xf numFmtId="166" fontId="84" fillId="2" borderId="6" xfId="15" applyNumberFormat="1" applyFont="1" applyFill="1" applyBorder="1" applyAlignment="1">
      <alignment horizontal="center" vertical="center"/>
    </xf>
    <xf numFmtId="0" fontId="5" fillId="2" borderId="100" xfId="0" applyFont="1" applyFill="1" applyBorder="1" applyAlignment="1">
      <alignment horizontal="center"/>
    </xf>
    <xf numFmtId="0" fontId="94" fillId="2" borderId="23" xfId="0" applyFont="1" applyFill="1" applyBorder="1" applyAlignment="1">
      <alignment/>
    </xf>
    <xf numFmtId="41" fontId="64" fillId="2" borderId="101" xfId="0" applyNumberFormat="1" applyFont="1" applyFill="1" applyBorder="1" applyAlignment="1">
      <alignment horizontal="center"/>
    </xf>
    <xf numFmtId="41" fontId="64" fillId="2" borderId="102" xfId="0" applyNumberFormat="1" applyFont="1" applyFill="1" applyBorder="1" applyAlignment="1">
      <alignment horizontal="center"/>
    </xf>
    <xf numFmtId="41" fontId="64" fillId="2" borderId="103" xfId="0" applyNumberFormat="1" applyFont="1" applyFill="1" applyBorder="1" applyAlignment="1">
      <alignment horizontal="center"/>
    </xf>
    <xf numFmtId="41" fontId="64" fillId="2" borderId="104" xfId="0" applyNumberFormat="1" applyFont="1" applyFill="1" applyBorder="1" applyAlignment="1">
      <alignment horizontal="center"/>
    </xf>
    <xf numFmtId="41" fontId="64" fillId="2" borderId="105" xfId="0" applyNumberFormat="1" applyFont="1" applyFill="1" applyBorder="1" applyAlignment="1">
      <alignment horizontal="center"/>
    </xf>
    <xf numFmtId="184" fontId="89" fillId="2" borderId="70" xfId="0" applyNumberFormat="1" applyFont="1" applyFill="1" applyBorder="1" applyAlignment="1">
      <alignment horizontal="center" vertical="center"/>
    </xf>
    <xf numFmtId="184" fontId="89" fillId="2" borderId="71" xfId="0" applyNumberFormat="1" applyFont="1" applyFill="1" applyBorder="1" applyAlignment="1">
      <alignment horizontal="center" vertical="center"/>
    </xf>
    <xf numFmtId="184" fontId="89" fillId="2" borderId="72" xfId="0" applyNumberFormat="1" applyFont="1" applyFill="1" applyBorder="1" applyAlignment="1">
      <alignment horizontal="center" vertical="center"/>
    </xf>
    <xf numFmtId="0" fontId="5" fillId="3" borderId="21" xfId="0" applyFont="1" applyFill="1" applyBorder="1" applyAlignment="1">
      <alignment horizontal="center" wrapText="1"/>
    </xf>
    <xf numFmtId="0" fontId="5" fillId="3" borderId="39" xfId="0" applyFont="1" applyFill="1" applyBorder="1" applyAlignment="1">
      <alignment horizontal="center" wrapText="1"/>
    </xf>
    <xf numFmtId="0" fontId="5" fillId="3" borderId="47" xfId="0" applyFont="1" applyFill="1" applyBorder="1" applyAlignment="1">
      <alignment horizontal="center" wrapText="1"/>
    </xf>
    <xf numFmtId="0" fontId="22" fillId="3" borderId="18" xfId="0" applyFont="1" applyFill="1" applyBorder="1" applyAlignment="1">
      <alignment horizontal="center" vertical="center" wrapText="1"/>
    </xf>
    <xf numFmtId="0" fontId="22" fillId="3" borderId="17" xfId="0" applyFont="1" applyFill="1" applyBorder="1" applyAlignment="1">
      <alignment horizontal="center" vertical="center" wrapText="1"/>
    </xf>
    <xf numFmtId="168" fontId="7" fillId="3" borderId="35" xfId="0" applyNumberFormat="1" applyFont="1" applyFill="1" applyBorder="1" applyAlignment="1">
      <alignment/>
    </xf>
    <xf numFmtId="168" fontId="7" fillId="3" borderId="106" xfId="0" applyNumberFormat="1" applyFont="1" applyFill="1" applyBorder="1" applyAlignment="1">
      <alignment/>
    </xf>
    <xf numFmtId="2" fontId="7" fillId="3" borderId="36" xfId="0" applyNumberFormat="1" applyFont="1" applyFill="1" applyBorder="1" applyAlignment="1">
      <alignment/>
    </xf>
    <xf numFmtId="0" fontId="0" fillId="3" borderId="35" xfId="0" applyFill="1" applyBorder="1" applyAlignment="1">
      <alignment horizontal="center"/>
    </xf>
    <xf numFmtId="0" fontId="0" fillId="3" borderId="36" xfId="0" applyFill="1" applyBorder="1" applyAlignment="1">
      <alignment horizontal="center"/>
    </xf>
    <xf numFmtId="168" fontId="7" fillId="3" borderId="8" xfId="0" applyNumberFormat="1" applyFont="1" applyFill="1" applyBorder="1" applyAlignment="1">
      <alignment/>
    </xf>
    <xf numFmtId="168" fontId="7" fillId="3" borderId="107" xfId="0" applyNumberFormat="1" applyFont="1" applyFill="1" applyBorder="1" applyAlignment="1">
      <alignment/>
    </xf>
    <xf numFmtId="2" fontId="7" fillId="3" borderId="7" xfId="0" applyNumberFormat="1" applyFont="1" applyFill="1" applyBorder="1" applyAlignment="1">
      <alignment/>
    </xf>
    <xf numFmtId="169" fontId="7" fillId="3" borderId="15" xfId="0" applyNumberFormat="1" applyFont="1" applyFill="1" applyBorder="1" applyAlignment="1">
      <alignment/>
    </xf>
    <xf numFmtId="3" fontId="7" fillId="3" borderId="8" xfId="0" applyNumberFormat="1" applyFont="1" applyFill="1" applyBorder="1" applyAlignment="1">
      <alignment/>
    </xf>
    <xf numFmtId="168" fontId="7" fillId="3" borderId="34" xfId="0" applyNumberFormat="1" applyFont="1" applyFill="1" applyBorder="1" applyAlignment="1">
      <alignment/>
    </xf>
    <xf numFmtId="2" fontId="7" fillId="3" borderId="12" xfId="0" applyNumberFormat="1" applyFont="1" applyFill="1" applyBorder="1" applyAlignment="1">
      <alignment/>
    </xf>
    <xf numFmtId="169" fontId="7" fillId="3" borderId="37" xfId="0" applyNumberFormat="1" applyFont="1" applyFill="1" applyBorder="1" applyAlignment="1">
      <alignment/>
    </xf>
    <xf numFmtId="3" fontId="7" fillId="3" borderId="34" xfId="0" applyNumberFormat="1" applyFont="1" applyFill="1" applyBorder="1" applyAlignment="1">
      <alignment/>
    </xf>
    <xf numFmtId="0" fontId="45" fillId="0" borderId="0" xfId="0" applyFont="1" applyAlignment="1">
      <alignment horizontal="center" wrapText="1"/>
    </xf>
    <xf numFmtId="0" fontId="0" fillId="0" borderId="0" xfId="0" applyAlignment="1">
      <alignment horizontal="center" wrapText="1"/>
    </xf>
    <xf numFmtId="0" fontId="73" fillId="0" borderId="0" xfId="0" applyFont="1" applyBorder="1" applyAlignment="1">
      <alignment horizontal="center" wrapText="1"/>
    </xf>
    <xf numFmtId="42" fontId="13" fillId="4" borderId="0" xfId="0" applyNumberFormat="1" applyFont="1" applyFill="1" applyBorder="1" applyAlignment="1">
      <alignment horizontal="center" vertical="center" wrapText="1"/>
    </xf>
    <xf numFmtId="0" fontId="96" fillId="0" borderId="0" xfId="0" applyFont="1" applyBorder="1" applyAlignment="1">
      <alignment horizontal="center"/>
    </xf>
    <xf numFmtId="0" fontId="5" fillId="3" borderId="0" xfId="0" applyFont="1" applyFill="1" applyBorder="1" applyAlignment="1">
      <alignment horizontal="left" vertical="center"/>
    </xf>
    <xf numFmtId="0" fontId="5" fillId="2" borderId="26" xfId="0" applyFont="1" applyFill="1" applyBorder="1" applyAlignment="1">
      <alignment horizontal="center"/>
    </xf>
    <xf numFmtId="196" fontId="4" fillId="2" borderId="103" xfId="15" applyNumberFormat="1" applyFont="1" applyFill="1" applyBorder="1" applyAlignment="1">
      <alignment horizontal="right"/>
    </xf>
    <xf numFmtId="196" fontId="4" fillId="2" borderId="102" xfId="15" applyNumberFormat="1" applyFont="1" applyFill="1" applyBorder="1" applyAlignment="1">
      <alignment horizontal="right"/>
    </xf>
    <xf numFmtId="196" fontId="4" fillId="2" borderId="104" xfId="15" applyNumberFormat="1" applyFont="1" applyFill="1" applyBorder="1" applyAlignment="1">
      <alignment horizontal="right"/>
    </xf>
    <xf numFmtId="196" fontId="4" fillId="2" borderId="105" xfId="15" applyNumberFormat="1" applyFont="1" applyFill="1" applyBorder="1" applyAlignment="1">
      <alignment horizontal="right"/>
    </xf>
    <xf numFmtId="0" fontId="5" fillId="2" borderId="27" xfId="0" applyNumberFormat="1" applyFont="1" applyFill="1" applyBorder="1" applyAlignment="1">
      <alignment horizontal="center" wrapText="1"/>
    </xf>
    <xf numFmtId="168" fontId="0" fillId="0" borderId="0" xfId="0" applyNumberFormat="1" applyAlignment="1">
      <alignment/>
    </xf>
    <xf numFmtId="168" fontId="7" fillId="3" borderId="10" xfId="0" applyNumberFormat="1" applyFont="1" applyFill="1" applyBorder="1" applyAlignment="1">
      <alignment/>
    </xf>
    <xf numFmtId="168" fontId="7" fillId="3" borderId="95" xfId="0" applyNumberFormat="1" applyFont="1" applyFill="1" applyBorder="1" applyAlignment="1">
      <alignment/>
    </xf>
    <xf numFmtId="168" fontId="7" fillId="3" borderId="2" xfId="0" applyNumberFormat="1" applyFont="1" applyFill="1" applyBorder="1" applyAlignment="1">
      <alignment/>
    </xf>
    <xf numFmtId="2" fontId="7" fillId="3" borderId="15" xfId="0" applyNumberFormat="1" applyFont="1" applyFill="1" applyBorder="1" applyAlignment="1">
      <alignment/>
    </xf>
    <xf numFmtId="169" fontId="7" fillId="3" borderId="12" xfId="0" applyNumberFormat="1" applyFont="1" applyFill="1" applyBorder="1" applyAlignment="1">
      <alignment/>
    </xf>
    <xf numFmtId="3" fontId="7" fillId="3" borderId="10" xfId="0" applyNumberFormat="1" applyFont="1" applyFill="1" applyBorder="1" applyAlignment="1">
      <alignment/>
    </xf>
    <xf numFmtId="0" fontId="18" fillId="3" borderId="4" xfId="0" applyFont="1" applyFill="1" applyBorder="1" applyAlignment="1">
      <alignment horizontal="center"/>
    </xf>
    <xf numFmtId="0" fontId="18" fillId="3" borderId="3" xfId="0" applyFont="1" applyFill="1" applyBorder="1" applyAlignment="1">
      <alignment horizontal="center"/>
    </xf>
    <xf numFmtId="0" fontId="18" fillId="3" borderId="108" xfId="0" applyFont="1" applyFill="1" applyBorder="1" applyAlignment="1">
      <alignment horizontal="center"/>
    </xf>
    <xf numFmtId="3" fontId="11" fillId="0" borderId="109" xfId="15" applyNumberFormat="1" applyFont="1" applyBorder="1" applyAlignment="1">
      <alignment horizontal="right" vertical="center"/>
    </xf>
    <xf numFmtId="3" fontId="11" fillId="0" borderId="92" xfId="15" applyNumberFormat="1" applyFont="1" applyBorder="1" applyAlignment="1">
      <alignment horizontal="right" vertical="center"/>
    </xf>
    <xf numFmtId="0" fontId="99" fillId="2" borderId="49" xfId="0" applyFont="1" applyFill="1" applyBorder="1" applyAlignment="1">
      <alignment/>
    </xf>
    <xf numFmtId="0" fontId="86" fillId="2" borderId="21" xfId="0" applyFont="1" applyFill="1" applyBorder="1" applyAlignment="1">
      <alignment/>
    </xf>
    <xf numFmtId="3" fontId="84" fillId="2" borderId="0" xfId="0" applyNumberFormat="1" applyFont="1" applyFill="1" applyAlignment="1">
      <alignment/>
    </xf>
    <xf numFmtId="0" fontId="84" fillId="0" borderId="0" xfId="0" applyFont="1" applyAlignment="1">
      <alignment horizontal="center"/>
    </xf>
    <xf numFmtId="3" fontId="84" fillId="2" borderId="1" xfId="0" applyNumberFormat="1" applyFont="1" applyFill="1" applyBorder="1" applyAlignment="1">
      <alignment/>
    </xf>
    <xf numFmtId="0" fontId="84" fillId="0" borderId="1" xfId="0" applyFont="1" applyBorder="1" applyAlignment="1">
      <alignment horizontal="center"/>
    </xf>
    <xf numFmtId="0" fontId="84" fillId="0" borderId="110" xfId="0" applyFont="1" applyBorder="1" applyAlignment="1">
      <alignment horizontal="center"/>
    </xf>
    <xf numFmtId="169" fontId="84" fillId="0" borderId="110" xfId="0" applyNumberFormat="1" applyFont="1" applyBorder="1" applyAlignment="1">
      <alignment horizontal="center"/>
    </xf>
    <xf numFmtId="3" fontId="83" fillId="2" borderId="55" xfId="0" applyNumberFormat="1" applyFont="1" applyFill="1" applyBorder="1" applyAlignment="1">
      <alignment/>
    </xf>
    <xf numFmtId="0" fontId="84" fillId="0" borderId="55" xfId="0" applyFont="1" applyBorder="1" applyAlignment="1">
      <alignment horizontal="center"/>
    </xf>
    <xf numFmtId="3" fontId="83" fillId="2" borderId="0" xfId="0" applyNumberFormat="1" applyFont="1" applyFill="1" applyBorder="1" applyAlignment="1">
      <alignment/>
    </xf>
    <xf numFmtId="0" fontId="0" fillId="0" borderId="0" xfId="0" applyFont="1" applyBorder="1" applyAlignment="1">
      <alignment/>
    </xf>
    <xf numFmtId="3" fontId="84" fillId="2" borderId="55" xfId="0" applyNumberFormat="1" applyFont="1" applyFill="1" applyBorder="1" applyAlignment="1">
      <alignment/>
    </xf>
    <xf numFmtId="3" fontId="84" fillId="2" borderId="0" xfId="0" applyNumberFormat="1" applyFont="1" applyFill="1" applyBorder="1" applyAlignment="1">
      <alignment/>
    </xf>
    <xf numFmtId="0" fontId="84" fillId="0" borderId="0" xfId="0" applyFont="1" applyBorder="1" applyAlignment="1">
      <alignment horizontal="center"/>
    </xf>
    <xf numFmtId="0" fontId="99" fillId="0" borderId="110" xfId="0" applyFont="1" applyBorder="1" applyAlignment="1">
      <alignment horizontal="center" vertical="center" wrapText="1"/>
    </xf>
    <xf numFmtId="0" fontId="99" fillId="0" borderId="0" xfId="0" applyFont="1" applyAlignment="1">
      <alignment/>
    </xf>
    <xf numFmtId="0" fontId="99" fillId="0" borderId="1" xfId="0" applyFont="1" applyBorder="1" applyAlignment="1">
      <alignment/>
    </xf>
    <xf numFmtId="0" fontId="99" fillId="0" borderId="110" xfId="0" applyFont="1" applyBorder="1" applyAlignment="1">
      <alignment/>
    </xf>
    <xf numFmtId="0" fontId="99" fillId="0" borderId="0" xfId="0" applyFont="1" applyAlignment="1">
      <alignment horizontal="center"/>
    </xf>
    <xf numFmtId="0" fontId="99" fillId="0" borderId="55" xfId="0" applyFont="1" applyBorder="1" applyAlignment="1">
      <alignment horizontal="center"/>
    </xf>
    <xf numFmtId="0" fontId="99" fillId="0" borderId="0" xfId="0" applyFont="1" applyBorder="1" applyAlignment="1">
      <alignment horizontal="center"/>
    </xf>
    <xf numFmtId="0" fontId="99" fillId="0" borderId="1" xfId="0" applyFont="1" applyBorder="1" applyAlignment="1">
      <alignment horizontal="center"/>
    </xf>
    <xf numFmtId="0" fontId="17" fillId="0" borderId="110" xfId="0" applyFont="1" applyBorder="1" applyAlignment="1">
      <alignment/>
    </xf>
    <xf numFmtId="0" fontId="17" fillId="0" borderId="111" xfId="0" applyFont="1" applyBorder="1" applyAlignment="1">
      <alignment/>
    </xf>
    <xf numFmtId="0" fontId="17" fillId="0" borderId="97" xfId="0" applyFont="1" applyBorder="1" applyAlignment="1">
      <alignment/>
    </xf>
    <xf numFmtId="0" fontId="17" fillId="0" borderId="51" xfId="0" applyFont="1" applyBorder="1" applyAlignment="1">
      <alignment horizontal="center"/>
    </xf>
    <xf numFmtId="0" fontId="17" fillId="0" borderId="13" xfId="0" applyFont="1" applyBorder="1" applyAlignment="1">
      <alignment horizontal="center"/>
    </xf>
    <xf numFmtId="0" fontId="17" fillId="0" borderId="52" xfId="0" applyFont="1" applyBorder="1" applyAlignment="1">
      <alignment horizontal="center"/>
    </xf>
    <xf numFmtId="168" fontId="89" fillId="2" borderId="112" xfId="0" applyNumberFormat="1" applyFont="1" applyFill="1" applyBorder="1" applyAlignment="1">
      <alignment horizontal="right" vertical="center"/>
    </xf>
    <xf numFmtId="168" fontId="89" fillId="2" borderId="113" xfId="0" applyNumberFormat="1" applyFont="1" applyFill="1" applyBorder="1" applyAlignment="1">
      <alignment horizontal="center" vertical="center"/>
    </xf>
    <xf numFmtId="0" fontId="101" fillId="0" borderId="0" xfId="0" applyFont="1" applyAlignment="1">
      <alignment/>
    </xf>
    <xf numFmtId="0" fontId="14" fillId="0" borderId="0" xfId="0" applyFont="1" applyAlignment="1">
      <alignment horizontal="center"/>
    </xf>
    <xf numFmtId="0" fontId="10" fillId="0" borderId="114" xfId="0" applyFont="1" applyBorder="1" applyAlignment="1">
      <alignment horizontal="center" vertical="center" wrapText="1"/>
    </xf>
    <xf numFmtId="0" fontId="10" fillId="0" borderId="115" xfId="0" applyFont="1" applyBorder="1" applyAlignment="1">
      <alignment horizontal="center" vertical="center" wrapText="1"/>
    </xf>
    <xf numFmtId="0" fontId="0" fillId="0" borderId="0" xfId="0" applyFont="1" applyBorder="1" applyAlignment="1">
      <alignment/>
    </xf>
    <xf numFmtId="0" fontId="17" fillId="0" borderId="0" xfId="0" applyFont="1" applyBorder="1" applyAlignment="1">
      <alignment/>
    </xf>
    <xf numFmtId="0" fontId="8" fillId="0" borderId="0" xfId="0" applyFont="1" applyBorder="1" applyAlignment="1">
      <alignment/>
    </xf>
    <xf numFmtId="3" fontId="92" fillId="2" borderId="114" xfId="15" applyNumberFormat="1" applyFont="1" applyFill="1" applyBorder="1" applyAlignment="1">
      <alignment horizontal="center" vertical="center"/>
    </xf>
    <xf numFmtId="0" fontId="101" fillId="0" borderId="0" xfId="0" applyFont="1" applyAlignment="1">
      <alignment/>
    </xf>
    <xf numFmtId="0" fontId="18" fillId="0" borderId="0" xfId="0" applyFont="1" applyAlignment="1">
      <alignment/>
    </xf>
    <xf numFmtId="0" fontId="15" fillId="3" borderId="0" xfId="0" applyFont="1" applyFill="1" applyAlignment="1">
      <alignment/>
    </xf>
    <xf numFmtId="41" fontId="56" fillId="0" borderId="0" xfId="0" applyNumberFormat="1" applyFont="1" applyAlignment="1">
      <alignment/>
    </xf>
    <xf numFmtId="0" fontId="64" fillId="3" borderId="0" xfId="0" applyFont="1" applyFill="1" applyAlignment="1">
      <alignment/>
    </xf>
    <xf numFmtId="0" fontId="43" fillId="3" borderId="15" xfId="0" applyFont="1" applyFill="1" applyBorder="1" applyAlignment="1">
      <alignment horizontal="center" vertical="center"/>
    </xf>
    <xf numFmtId="0" fontId="5" fillId="3" borderId="40" xfId="0" applyFont="1" applyFill="1" applyBorder="1" applyAlignment="1">
      <alignment horizontal="center" vertical="center" wrapText="1"/>
    </xf>
    <xf numFmtId="0" fontId="5" fillId="3" borderId="7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2" fillId="3" borderId="19" xfId="0" applyFont="1" applyFill="1" applyBorder="1" applyAlignment="1">
      <alignment vertical="center"/>
    </xf>
    <xf numFmtId="0" fontId="22" fillId="3" borderId="13" xfId="0" applyFont="1" applyFill="1" applyBorder="1" applyAlignment="1">
      <alignment vertical="center"/>
    </xf>
    <xf numFmtId="0" fontId="22" fillId="3" borderId="52" xfId="0" applyFont="1" applyFill="1" applyBorder="1" applyAlignment="1">
      <alignment vertical="center"/>
    </xf>
    <xf numFmtId="3" fontId="4" fillId="2" borderId="116"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3" fontId="5" fillId="2" borderId="118" xfId="0" applyNumberFormat="1" applyFont="1" applyFill="1" applyBorder="1" applyAlignment="1">
      <alignment horizontal="right"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0" fontId="103" fillId="0" borderId="8" xfId="0" applyFont="1" applyFill="1" applyBorder="1" applyAlignment="1">
      <alignment horizontal="center" vertical="center"/>
    </xf>
    <xf numFmtId="3" fontId="4" fillId="2" borderId="119" xfId="0" applyNumberFormat="1" applyFont="1" applyFill="1" applyBorder="1" applyAlignment="1">
      <alignment horizontal="right" vertical="center"/>
    </xf>
    <xf numFmtId="3" fontId="4" fillId="2" borderId="120" xfId="0" applyNumberFormat="1" applyFont="1" applyFill="1" applyBorder="1" applyAlignment="1">
      <alignment horizontal="right" vertical="center"/>
    </xf>
    <xf numFmtId="3" fontId="5" fillId="2" borderId="121" xfId="0" applyNumberFormat="1" applyFont="1" applyFill="1" applyBorder="1" applyAlignment="1">
      <alignment horizontal="right" vertical="center"/>
    </xf>
    <xf numFmtId="0" fontId="5" fillId="4" borderId="35" xfId="0" applyFont="1" applyFill="1" applyBorder="1" applyAlignment="1">
      <alignment horizontal="center" vertical="center"/>
    </xf>
    <xf numFmtId="0" fontId="5" fillId="4" borderId="122" xfId="0" applyFont="1" applyFill="1" applyBorder="1" applyAlignment="1">
      <alignment horizontal="center" vertical="center"/>
    </xf>
    <xf numFmtId="0" fontId="5" fillId="4" borderId="36" xfId="0" applyFont="1" applyFill="1" applyBorder="1" applyAlignment="1">
      <alignment horizontal="center" vertical="center"/>
    </xf>
    <xf numFmtId="0" fontId="97" fillId="2" borderId="2" xfId="0" applyFont="1" applyFill="1" applyBorder="1" applyAlignment="1">
      <alignment horizontal="center" vertical="center" wrapText="1"/>
    </xf>
    <xf numFmtId="0" fontId="94" fillId="2" borderId="2" xfId="0" applyFont="1" applyFill="1" applyBorder="1" applyAlignment="1">
      <alignment horizontal="left" vertical="center"/>
    </xf>
    <xf numFmtId="164" fontId="5" fillId="4" borderId="14" xfId="15" applyNumberFormat="1" applyFont="1" applyFill="1" applyBorder="1" applyAlignment="1">
      <alignment horizontal="center" vertical="center"/>
    </xf>
    <xf numFmtId="164" fontId="5" fillId="4" borderId="123" xfId="15" applyNumberFormat="1" applyFont="1" applyFill="1" applyBorder="1" applyAlignment="1">
      <alignment horizontal="center" vertical="center"/>
    </xf>
    <xf numFmtId="0" fontId="5" fillId="4" borderId="124" xfId="0" applyFont="1" applyFill="1" applyBorder="1" applyAlignment="1">
      <alignment horizontal="center" vertical="center"/>
    </xf>
    <xf numFmtId="164" fontId="5" fillId="4" borderId="15" xfId="0" applyNumberFormat="1" applyFont="1" applyFill="1" applyBorder="1" applyAlignment="1">
      <alignment horizontal="center" vertical="center"/>
    </xf>
    <xf numFmtId="164" fontId="5" fillId="4" borderId="37" xfId="0" applyNumberFormat="1" applyFont="1" applyFill="1" applyBorder="1" applyAlignment="1">
      <alignment horizontal="center" vertical="center"/>
    </xf>
    <xf numFmtId="0" fontId="22" fillId="3" borderId="0" xfId="0" applyFont="1" applyFill="1" applyBorder="1" applyAlignment="1">
      <alignment vertical="center"/>
    </xf>
    <xf numFmtId="164" fontId="4" fillId="2" borderId="125" xfId="15" applyNumberFormat="1" applyFont="1" applyFill="1" applyBorder="1" applyAlignment="1">
      <alignment horizontal="center" vertical="center"/>
    </xf>
    <xf numFmtId="164" fontId="5" fillId="2" borderId="126" xfId="15" applyNumberFormat="1" applyFont="1" applyFill="1" applyBorder="1" applyAlignment="1">
      <alignment horizontal="center" vertical="center"/>
    </xf>
    <xf numFmtId="164" fontId="5" fillId="2" borderId="127" xfId="15" applyNumberFormat="1" applyFont="1" applyFill="1" applyBorder="1" applyAlignment="1">
      <alignment horizontal="center" vertical="center"/>
    </xf>
    <xf numFmtId="0" fontId="22" fillId="2" borderId="75" xfId="0" applyFont="1" applyFill="1" applyBorder="1" applyAlignment="1">
      <alignment horizontal="left" vertical="center" wrapText="1"/>
    </xf>
    <xf numFmtId="164" fontId="4" fillId="2" borderId="53" xfId="15" applyNumberFormat="1" applyFont="1" applyFill="1" applyBorder="1" applyAlignment="1">
      <alignment horizontal="right" vertical="center"/>
    </xf>
    <xf numFmtId="164" fontId="4" fillId="2" borderId="128" xfId="15" applyNumberFormat="1" applyFont="1" applyFill="1" applyBorder="1" applyAlignment="1">
      <alignment horizontal="right" vertical="center"/>
    </xf>
    <xf numFmtId="0" fontId="105" fillId="2" borderId="76" xfId="0" applyFont="1" applyFill="1" applyBorder="1" applyAlignment="1">
      <alignment horizontal="left" vertical="center" wrapText="1"/>
    </xf>
    <xf numFmtId="164" fontId="4" fillId="2" borderId="74" xfId="15" applyNumberFormat="1" applyFont="1" applyFill="1" applyBorder="1" applyAlignment="1">
      <alignment horizontal="right" vertical="center"/>
    </xf>
    <xf numFmtId="164" fontId="4" fillId="2" borderId="129" xfId="15" applyNumberFormat="1" applyFont="1" applyFill="1" applyBorder="1" applyAlignment="1">
      <alignment horizontal="right" vertical="center"/>
    </xf>
    <xf numFmtId="168" fontId="7" fillId="3" borderId="41" xfId="0" applyNumberFormat="1" applyFont="1" applyFill="1" applyBorder="1" applyAlignment="1">
      <alignment/>
    </xf>
    <xf numFmtId="2" fontId="7" fillId="3" borderId="37" xfId="0" applyNumberFormat="1" applyFont="1" applyFill="1" applyBorder="1" applyAlignment="1">
      <alignment/>
    </xf>
    <xf numFmtId="0" fontId="9" fillId="4" borderId="36" xfId="0" applyFont="1" applyFill="1" applyBorder="1" applyAlignment="1">
      <alignment horizontal="center" vertical="center" wrapText="1"/>
    </xf>
    <xf numFmtId="3" fontId="81" fillId="2" borderId="0" xfId="0" applyNumberFormat="1" applyFont="1" applyFill="1" applyBorder="1" applyAlignment="1">
      <alignment/>
    </xf>
    <xf numFmtId="171" fontId="5" fillId="4" borderId="15" xfId="0" applyNumberFormat="1" applyFont="1" applyFill="1" applyBorder="1" applyAlignment="1">
      <alignment horizontal="center" vertical="center"/>
    </xf>
    <xf numFmtId="0" fontId="99" fillId="0" borderId="55" xfId="0" applyFont="1" applyBorder="1" applyAlignment="1">
      <alignment/>
    </xf>
    <xf numFmtId="169" fontId="84" fillId="0" borderId="55" xfId="0" applyNumberFormat="1" applyFont="1" applyBorder="1" applyAlignment="1">
      <alignment horizontal="center"/>
    </xf>
    <xf numFmtId="0" fontId="99" fillId="0" borderId="0" xfId="0" applyFont="1" applyAlignment="1">
      <alignment/>
    </xf>
    <xf numFmtId="0" fontId="0" fillId="0" borderId="0" xfId="0" applyFont="1" applyAlignment="1">
      <alignment/>
    </xf>
    <xf numFmtId="0" fontId="0" fillId="4" borderId="23" xfId="0" applyFont="1" applyFill="1" applyBorder="1" applyAlignment="1">
      <alignment wrapText="1"/>
    </xf>
    <xf numFmtId="0" fontId="0" fillId="4" borderId="0" xfId="0" applyFont="1" applyFill="1" applyBorder="1" applyAlignment="1">
      <alignment wrapText="1"/>
    </xf>
    <xf numFmtId="0" fontId="0" fillId="4" borderId="78" xfId="0" applyFont="1" applyFill="1" applyBorder="1" applyAlignment="1">
      <alignment/>
    </xf>
    <xf numFmtId="0" fontId="0" fillId="7" borderId="21" xfId="0" applyFont="1" applyFill="1" applyBorder="1" applyAlignment="1">
      <alignment/>
    </xf>
    <xf numFmtId="0" fontId="28" fillId="7" borderId="22" xfId="0" applyFont="1" applyFill="1" applyBorder="1" applyAlignment="1">
      <alignment/>
    </xf>
    <xf numFmtId="164" fontId="28" fillId="7" borderId="22" xfId="15" applyNumberFormat="1" applyFont="1" applyFill="1" applyBorder="1" applyAlignment="1">
      <alignment/>
    </xf>
    <xf numFmtId="0" fontId="28" fillId="7" borderId="47" xfId="0" applyFont="1" applyFill="1" applyBorder="1" applyAlignment="1">
      <alignment/>
    </xf>
    <xf numFmtId="0" fontId="0" fillId="5" borderId="23" xfId="0" applyFont="1" applyFill="1" applyBorder="1" applyAlignment="1">
      <alignment horizontal="right"/>
    </xf>
    <xf numFmtId="0" fontId="28" fillId="5" borderId="0" xfId="0" applyFont="1" applyFill="1" applyBorder="1" applyAlignment="1">
      <alignment/>
    </xf>
    <xf numFmtId="0" fontId="28" fillId="5" borderId="78" xfId="0" applyFont="1" applyFill="1" applyBorder="1" applyAlignment="1">
      <alignment/>
    </xf>
    <xf numFmtId="0" fontId="0" fillId="7" borderId="23" xfId="0" applyFont="1" applyFill="1" applyBorder="1" applyAlignment="1">
      <alignment/>
    </xf>
    <xf numFmtId="0" fontId="28" fillId="7" borderId="0" xfId="0" applyFont="1" applyFill="1" applyBorder="1" applyAlignment="1">
      <alignment/>
    </xf>
    <xf numFmtId="164" fontId="28" fillId="7" borderId="0" xfId="15" applyNumberFormat="1" applyFont="1" applyFill="1" applyBorder="1" applyAlignment="1">
      <alignment/>
    </xf>
    <xf numFmtId="0" fontId="28" fillId="7" borderId="78" xfId="0" applyFont="1" applyFill="1" applyBorder="1" applyAlignment="1">
      <alignment/>
    </xf>
    <xf numFmtId="3" fontId="13" fillId="0" borderId="0" xfId="0" applyNumberFormat="1" applyFont="1" applyAlignment="1">
      <alignment/>
    </xf>
    <xf numFmtId="3" fontId="13" fillId="0" borderId="0" xfId="0" applyNumberFormat="1" applyFont="1" applyAlignment="1">
      <alignment/>
    </xf>
    <xf numFmtId="0" fontId="0" fillId="7" borderId="49" xfId="0" applyFont="1" applyFill="1" applyBorder="1" applyAlignment="1">
      <alignment/>
    </xf>
    <xf numFmtId="0" fontId="28" fillId="7" borderId="45" xfId="0" applyFont="1" applyFill="1" applyBorder="1" applyAlignment="1">
      <alignment/>
    </xf>
    <xf numFmtId="0" fontId="28" fillId="7" borderId="48" xfId="0" applyFont="1" applyFill="1" applyBorder="1" applyAlignment="1">
      <alignment/>
    </xf>
    <xf numFmtId="0" fontId="84" fillId="0" borderId="0" xfId="0" applyFont="1" applyAlignment="1">
      <alignment/>
    </xf>
    <xf numFmtId="0" fontId="104" fillId="3" borderId="0" xfId="0" applyFont="1" applyFill="1" applyBorder="1" applyAlignment="1">
      <alignment vertical="center"/>
    </xf>
    <xf numFmtId="0" fontId="107" fillId="0" borderId="0" xfId="0" applyFont="1" applyAlignment="1">
      <alignment/>
    </xf>
    <xf numFmtId="0" fontId="107" fillId="0" borderId="0" xfId="0" applyFont="1" applyAlignment="1">
      <alignment horizontal="center"/>
    </xf>
    <xf numFmtId="0" fontId="108" fillId="0" borderId="0" xfId="0" applyFont="1" applyAlignment="1">
      <alignment/>
    </xf>
    <xf numFmtId="0" fontId="8" fillId="0" borderId="0" xfId="0" applyNumberFormat="1" applyFont="1" applyBorder="1" applyAlignment="1">
      <alignment vertical="center" wrapText="1"/>
    </xf>
    <xf numFmtId="0" fontId="84" fillId="0" borderId="0" xfId="0" applyFont="1" applyAlignment="1">
      <alignment/>
    </xf>
    <xf numFmtId="0" fontId="109" fillId="0" borderId="0" xfId="0" applyFont="1" applyAlignment="1">
      <alignment/>
    </xf>
    <xf numFmtId="0" fontId="10" fillId="2" borderId="130" xfId="0" applyFont="1" applyFill="1" applyBorder="1" applyAlignment="1">
      <alignment horizontal="left" vertical="center" wrapText="1"/>
    </xf>
    <xf numFmtId="0" fontId="28" fillId="2" borderId="130" xfId="15" applyNumberFormat="1" applyFont="1" applyFill="1" applyBorder="1" applyAlignment="1">
      <alignment horizontal="center" vertical="center"/>
    </xf>
    <xf numFmtId="0" fontId="28" fillId="2" borderId="50" xfId="15" applyNumberFormat="1" applyFont="1" applyFill="1" applyBorder="1" applyAlignment="1">
      <alignment horizontal="center" vertical="center"/>
    </xf>
    <xf numFmtId="0" fontId="10" fillId="2" borderId="28" xfId="0" applyFont="1" applyFill="1" applyBorder="1" applyAlignment="1">
      <alignment horizontal="center" vertical="center" wrapText="1"/>
    </xf>
    <xf numFmtId="0" fontId="10" fillId="2" borderId="131" xfId="0" applyFont="1" applyFill="1" applyBorder="1" applyAlignment="1">
      <alignment horizontal="left" vertical="center" wrapText="1"/>
    </xf>
    <xf numFmtId="164" fontId="28" fillId="2" borderId="131" xfId="15" applyNumberFormat="1" applyFont="1" applyFill="1" applyBorder="1" applyAlignment="1">
      <alignment horizontal="center" vertical="center"/>
    </xf>
    <xf numFmtId="164" fontId="28" fillId="2" borderId="87" xfId="15" applyNumberFormat="1" applyFont="1" applyFill="1" applyBorder="1" applyAlignment="1">
      <alignment horizontal="center" vertical="center"/>
    </xf>
    <xf numFmtId="164" fontId="28" fillId="2" borderId="89" xfId="15" applyNumberFormat="1" applyFont="1" applyFill="1" applyBorder="1" applyAlignment="1">
      <alignment horizontal="center" vertical="center"/>
    </xf>
    <xf numFmtId="0" fontId="13" fillId="2" borderId="68" xfId="0" applyFont="1" applyFill="1" applyBorder="1" applyAlignment="1">
      <alignment/>
    </xf>
    <xf numFmtId="3" fontId="23" fillId="2" borderId="131" xfId="0" applyNumberFormat="1" applyFont="1" applyFill="1" applyBorder="1" applyAlignment="1">
      <alignment horizontal="right" vertical="center" wrapText="1"/>
    </xf>
    <xf numFmtId="3" fontId="23" fillId="2" borderId="87" xfId="0" applyNumberFormat="1" applyFont="1" applyFill="1" applyBorder="1" applyAlignment="1">
      <alignment horizontal="right" vertical="center" wrapText="1"/>
    </xf>
    <xf numFmtId="3" fontId="23" fillId="2" borderId="89" xfId="0" applyNumberFormat="1" applyFont="1" applyFill="1" applyBorder="1" applyAlignment="1">
      <alignment horizontal="right" vertical="center" wrapText="1"/>
    </xf>
    <xf numFmtId="0" fontId="0" fillId="2" borderId="68" xfId="0" applyFont="1" applyFill="1" applyBorder="1" applyAlignment="1">
      <alignment/>
    </xf>
    <xf numFmtId="0" fontId="10" fillId="2" borderId="71" xfId="0" applyFont="1" applyFill="1" applyBorder="1" applyAlignment="1">
      <alignment horizontal="left" vertical="center" wrapText="1"/>
    </xf>
    <xf numFmtId="3" fontId="23" fillId="2" borderId="71" xfId="0" applyNumberFormat="1" applyFont="1" applyFill="1" applyBorder="1" applyAlignment="1">
      <alignment horizontal="right" vertical="center" wrapText="1"/>
    </xf>
    <xf numFmtId="3" fontId="23" fillId="2" borderId="67" xfId="0" applyNumberFormat="1" applyFont="1" applyFill="1" applyBorder="1" applyAlignment="1">
      <alignment horizontal="right" vertical="center" wrapText="1"/>
    </xf>
    <xf numFmtId="3" fontId="23" fillId="2" borderId="132" xfId="0" applyNumberFormat="1" applyFont="1" applyFill="1" applyBorder="1" applyAlignment="1">
      <alignment horizontal="right" vertical="center" wrapText="1"/>
    </xf>
    <xf numFmtId="0" fontId="0" fillId="2" borderId="66" xfId="0" applyFont="1" applyFill="1" applyBorder="1" applyAlignment="1">
      <alignment/>
    </xf>
    <xf numFmtId="0" fontId="13" fillId="2" borderId="66" xfId="0" applyFont="1" applyFill="1" applyBorder="1" applyAlignment="1">
      <alignment/>
    </xf>
    <xf numFmtId="0" fontId="10" fillId="2" borderId="72" xfId="0" applyFont="1" applyFill="1" applyBorder="1" applyAlignment="1">
      <alignment horizontal="left" vertical="center" wrapText="1"/>
    </xf>
    <xf numFmtId="164" fontId="28" fillId="2" borderId="9" xfId="15" applyNumberFormat="1" applyFont="1" applyFill="1" applyBorder="1" applyAlignment="1">
      <alignment horizontal="center" vertical="center"/>
    </xf>
    <xf numFmtId="164" fontId="28" fillId="2" borderId="45" xfId="15" applyNumberFormat="1" applyFont="1" applyFill="1" applyBorder="1" applyAlignment="1">
      <alignment horizontal="center" vertical="center"/>
    </xf>
    <xf numFmtId="164" fontId="28" fillId="2" borderId="48" xfId="15" applyNumberFormat="1" applyFont="1" applyFill="1" applyBorder="1" applyAlignment="1">
      <alignment horizontal="center" vertical="center"/>
    </xf>
    <xf numFmtId="0" fontId="99" fillId="0" borderId="110" xfId="0" applyFont="1" applyBorder="1" applyAlignment="1">
      <alignment horizontal="center"/>
    </xf>
    <xf numFmtId="2" fontId="13" fillId="4" borderId="0" xfId="0" applyNumberFormat="1" applyFont="1" applyFill="1" applyBorder="1" applyAlignment="1">
      <alignment horizontal="right" vertical="center" wrapText="1"/>
    </xf>
    <xf numFmtId="2" fontId="13" fillId="4" borderId="0" xfId="0" applyNumberFormat="1" applyFont="1" applyFill="1" applyBorder="1" applyAlignment="1">
      <alignment vertical="center" wrapText="1"/>
    </xf>
    <xf numFmtId="0" fontId="28" fillId="7" borderId="21" xfId="0" applyFont="1" applyFill="1" applyBorder="1" applyAlignment="1">
      <alignment/>
    </xf>
    <xf numFmtId="0" fontId="28" fillId="5" borderId="23" xfId="0" applyFont="1" applyFill="1" applyBorder="1" applyAlignment="1">
      <alignment/>
    </xf>
    <xf numFmtId="0" fontId="28" fillId="7" borderId="23" xfId="0" applyFont="1" applyFill="1" applyBorder="1" applyAlignment="1">
      <alignment/>
    </xf>
    <xf numFmtId="0" fontId="28" fillId="7" borderId="49" xfId="0" applyFont="1" applyFill="1" applyBorder="1" applyAlignment="1">
      <alignment/>
    </xf>
    <xf numFmtId="43" fontId="28" fillId="5" borderId="0" xfId="15" applyNumberFormat="1" applyFont="1" applyFill="1" applyBorder="1" applyAlignment="1">
      <alignment/>
    </xf>
    <xf numFmtId="43" fontId="28" fillId="7" borderId="0" xfId="15" applyNumberFormat="1" applyFont="1" applyFill="1" applyBorder="1" applyAlignment="1">
      <alignment/>
    </xf>
    <xf numFmtId="43" fontId="28" fillId="7" borderId="45" xfId="15" applyNumberFormat="1" applyFont="1" applyFill="1" applyBorder="1" applyAlignment="1">
      <alignment/>
    </xf>
    <xf numFmtId="0" fontId="5" fillId="2" borderId="133"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35" xfId="0" applyFont="1" applyFill="1" applyBorder="1" applyAlignment="1">
      <alignment horizontal="center" vertical="center"/>
    </xf>
    <xf numFmtId="0" fontId="5" fillId="2" borderId="136" xfId="0" applyFont="1" applyFill="1" applyBorder="1" applyAlignment="1">
      <alignment horizontal="center" vertical="center"/>
    </xf>
    <xf numFmtId="3" fontId="5" fillId="2" borderId="137" xfId="0" applyNumberFormat="1" applyFont="1" applyFill="1" applyBorder="1" applyAlignment="1">
      <alignment horizontal="right" vertical="center"/>
    </xf>
    <xf numFmtId="0" fontId="110" fillId="2" borderId="138" xfId="0" applyFont="1" applyFill="1" applyBorder="1" applyAlignment="1">
      <alignment horizontal="center" vertical="center"/>
    </xf>
    <xf numFmtId="0" fontId="5" fillId="2" borderId="138" xfId="0" applyFont="1" applyFill="1" applyBorder="1" applyAlignment="1">
      <alignment horizontal="center" vertical="center"/>
    </xf>
    <xf numFmtId="3" fontId="5" fillId="2" borderId="139" xfId="0" applyNumberFormat="1" applyFont="1" applyFill="1" applyBorder="1" applyAlignment="1">
      <alignment horizontal="right" vertical="center"/>
    </xf>
    <xf numFmtId="0" fontId="111" fillId="2" borderId="140" xfId="0" applyFont="1" applyFill="1" applyBorder="1" applyAlignment="1">
      <alignment horizontal="center" vertical="center"/>
    </xf>
    <xf numFmtId="0" fontId="5" fillId="2" borderId="140" xfId="0" applyFont="1" applyFill="1" applyBorder="1" applyAlignment="1">
      <alignment horizontal="center" vertical="center"/>
    </xf>
    <xf numFmtId="3" fontId="5" fillId="2" borderId="141" xfId="0" applyNumberFormat="1" applyFont="1" applyFill="1" applyBorder="1" applyAlignment="1">
      <alignment horizontal="right" vertical="center"/>
    </xf>
    <xf numFmtId="0" fontId="5" fillId="2" borderId="142" xfId="0" applyFont="1" applyFill="1" applyBorder="1" applyAlignment="1">
      <alignment horizontal="center" vertical="center"/>
    </xf>
    <xf numFmtId="0" fontId="5" fillId="2" borderId="143" xfId="0" applyFont="1" applyFill="1" applyBorder="1" applyAlignment="1">
      <alignment horizontal="center" vertical="center"/>
    </xf>
    <xf numFmtId="3" fontId="5" fillId="2" borderId="138" xfId="0" applyNumberFormat="1" applyFont="1" applyFill="1" applyBorder="1" applyAlignment="1">
      <alignment horizontal="right" vertical="center"/>
    </xf>
    <xf numFmtId="3" fontId="5" fillId="2" borderId="140" xfId="0" applyNumberFormat="1" applyFont="1" applyFill="1" applyBorder="1" applyAlignment="1">
      <alignment horizontal="right" vertical="center"/>
    </xf>
    <xf numFmtId="0" fontId="5" fillId="2" borderId="137" xfId="0" applyFont="1" applyFill="1" applyBorder="1" applyAlignment="1">
      <alignment horizontal="center" vertical="center"/>
    </xf>
    <xf numFmtId="3" fontId="5" fillId="2" borderId="133" xfId="0" applyNumberFormat="1" applyFont="1" applyFill="1" applyBorder="1" applyAlignment="1">
      <alignment horizontal="right" vertical="center"/>
    </xf>
    <xf numFmtId="3" fontId="5" fillId="2" borderId="144" xfId="0" applyNumberFormat="1" applyFont="1" applyFill="1" applyBorder="1" applyAlignment="1">
      <alignment horizontal="right" vertical="center"/>
    </xf>
    <xf numFmtId="3" fontId="5" fillId="2" borderId="136" xfId="0" applyNumberFormat="1" applyFont="1" applyFill="1" applyBorder="1" applyAlignment="1">
      <alignment horizontal="right" vertical="center"/>
    </xf>
    <xf numFmtId="3" fontId="5" fillId="2" borderId="145" xfId="0" applyNumberFormat="1" applyFont="1" applyFill="1" applyBorder="1" applyAlignment="1">
      <alignment horizontal="right" vertical="center"/>
    </xf>
    <xf numFmtId="0" fontId="5" fillId="2" borderId="133" xfId="0" applyFont="1" applyFill="1" applyBorder="1" applyAlignment="1">
      <alignment horizontal="center" vertical="center" wrapText="1"/>
    </xf>
    <xf numFmtId="0" fontId="0" fillId="2" borderId="51" xfId="0" applyFont="1" applyFill="1" applyBorder="1" applyAlignment="1">
      <alignment/>
    </xf>
    <xf numFmtId="0" fontId="0" fillId="2" borderId="28" xfId="0" applyFont="1" applyFill="1" applyBorder="1" applyAlignment="1">
      <alignment/>
    </xf>
    <xf numFmtId="3" fontId="84" fillId="3" borderId="0" xfId="0" applyNumberFormat="1" applyFont="1" applyFill="1" applyBorder="1" applyAlignment="1">
      <alignment/>
    </xf>
    <xf numFmtId="0" fontId="83" fillId="5" borderId="0" xfId="0" applyFont="1" applyFill="1" applyBorder="1" applyAlignment="1">
      <alignment/>
    </xf>
    <xf numFmtId="0" fontId="84" fillId="5" borderId="0" xfId="0" applyFont="1" applyFill="1" applyBorder="1" applyAlignment="1">
      <alignment/>
    </xf>
    <xf numFmtId="0" fontId="82" fillId="6" borderId="21" xfId="0" applyFont="1" applyFill="1" applyBorder="1" applyAlignment="1">
      <alignment/>
    </xf>
    <xf numFmtId="0" fontId="0" fillId="6" borderId="22" xfId="0" applyFont="1" applyFill="1" applyBorder="1" applyAlignment="1">
      <alignment/>
    </xf>
    <xf numFmtId="0" fontId="0" fillId="6" borderId="47" xfId="0" applyFont="1" applyFill="1" applyBorder="1" applyAlignment="1">
      <alignment/>
    </xf>
    <xf numFmtId="0" fontId="83" fillId="5" borderId="23" xfId="0" applyFont="1" applyFill="1" applyBorder="1" applyAlignment="1">
      <alignment/>
    </xf>
    <xf numFmtId="0" fontId="0" fillId="5" borderId="78" xfId="0" applyFont="1" applyFill="1" applyBorder="1" applyAlignment="1">
      <alignment/>
    </xf>
    <xf numFmtId="0" fontId="82" fillId="6" borderId="23" xfId="0" applyFont="1" applyFill="1" applyBorder="1" applyAlignment="1">
      <alignment/>
    </xf>
    <xf numFmtId="0" fontId="0" fillId="6" borderId="78" xfId="0" applyFont="1" applyFill="1" applyBorder="1" applyAlignment="1">
      <alignment/>
    </xf>
    <xf numFmtId="0" fontId="0" fillId="5" borderId="45" xfId="0" applyFont="1" applyFill="1" applyBorder="1" applyAlignment="1">
      <alignment/>
    </xf>
    <xf numFmtId="0" fontId="0" fillId="5" borderId="48" xfId="0" applyFont="1" applyFill="1" applyBorder="1" applyAlignment="1">
      <alignment/>
    </xf>
    <xf numFmtId="166" fontId="26" fillId="0" borderId="1" xfId="0" applyNumberFormat="1" applyFont="1" applyBorder="1" applyAlignment="1">
      <alignment horizontal="center"/>
    </xf>
    <xf numFmtId="0" fontId="21" fillId="0" borderId="0" xfId="0" applyFont="1" applyBorder="1" applyAlignment="1">
      <alignment/>
    </xf>
    <xf numFmtId="0" fontId="0" fillId="0" borderId="0" xfId="0" applyBorder="1" applyAlignment="1">
      <alignment/>
    </xf>
    <xf numFmtId="3" fontId="5" fillId="3" borderId="0" xfId="0" applyNumberFormat="1" applyFont="1" applyFill="1" applyBorder="1" applyAlignment="1">
      <alignment horizontal="right" vertical="center"/>
    </xf>
    <xf numFmtId="0" fontId="9" fillId="2" borderId="27" xfId="0" applyNumberFormat="1" applyFont="1" applyFill="1" applyBorder="1" applyAlignment="1">
      <alignment horizontal="center" wrapText="1"/>
    </xf>
    <xf numFmtId="0" fontId="84" fillId="5" borderId="23" xfId="0" applyFont="1" applyFill="1" applyBorder="1" applyAlignment="1">
      <alignment/>
    </xf>
    <xf numFmtId="0" fontId="0" fillId="0" borderId="0" xfId="0" applyAlignment="1">
      <alignment horizontal="left" vertical="center"/>
    </xf>
    <xf numFmtId="0" fontId="84" fillId="5" borderId="78" xfId="0" applyFont="1" applyFill="1" applyBorder="1" applyAlignment="1">
      <alignment/>
    </xf>
    <xf numFmtId="0" fontId="104" fillId="2" borderId="9" xfId="0" applyFont="1" applyFill="1" applyBorder="1" applyAlignment="1">
      <alignment horizontal="center" vertical="center" wrapText="1"/>
    </xf>
    <xf numFmtId="0" fontId="104" fillId="2" borderId="34" xfId="0" applyFont="1" applyFill="1" applyBorder="1" applyAlignment="1">
      <alignment horizontal="center" vertical="center" wrapText="1"/>
    </xf>
    <xf numFmtId="0" fontId="104" fillId="2" borderId="41" xfId="0" applyFont="1" applyFill="1" applyBorder="1" applyAlignment="1">
      <alignment horizontal="center" vertical="center" wrapText="1"/>
    </xf>
    <xf numFmtId="0" fontId="104" fillId="2" borderId="37" xfId="0" applyFont="1" applyFill="1" applyBorder="1" applyAlignment="1">
      <alignment horizontal="center" vertical="center" wrapText="1"/>
    </xf>
    <xf numFmtId="0" fontId="104" fillId="2" borderId="146" xfId="0" applyFont="1" applyFill="1" applyBorder="1" applyAlignment="1">
      <alignment horizontal="left" vertical="center"/>
    </xf>
    <xf numFmtId="0" fontId="104" fillId="2" borderId="147" xfId="0" applyFont="1" applyFill="1" applyBorder="1" applyAlignment="1">
      <alignment horizontal="left" vertical="center"/>
    </xf>
    <xf numFmtId="0" fontId="104" fillId="2" borderId="148" xfId="0" applyFont="1" applyFill="1" applyBorder="1" applyAlignment="1">
      <alignment horizontal="left" vertical="center"/>
    </xf>
    <xf numFmtId="0" fontId="43" fillId="3" borderId="0" xfId="0" applyFont="1" applyFill="1" applyBorder="1" applyAlignment="1">
      <alignment horizontal="center" vertical="center"/>
    </xf>
    <xf numFmtId="0" fontId="103" fillId="3" borderId="0" xfId="0" applyFont="1" applyFill="1" applyBorder="1" applyAlignment="1">
      <alignment horizontal="center" vertical="center"/>
    </xf>
    <xf numFmtId="3" fontId="4" fillId="3" borderId="0" xfId="0" applyNumberFormat="1" applyFont="1" applyFill="1" applyBorder="1" applyAlignment="1">
      <alignment horizontal="right" vertical="center"/>
    </xf>
    <xf numFmtId="0" fontId="112" fillId="0" borderId="0" xfId="0" applyFont="1" applyAlignment="1">
      <alignment/>
    </xf>
    <xf numFmtId="3" fontId="4" fillId="2" borderId="8"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5" fillId="2" borderId="34" xfId="0" applyNumberFormat="1" applyFont="1" applyFill="1" applyBorder="1" applyAlignment="1">
      <alignment horizontal="right" vertical="center"/>
    </xf>
    <xf numFmtId="3" fontId="5" fillId="2" borderId="37" xfId="0" applyNumberFormat="1" applyFont="1" applyFill="1" applyBorder="1" applyAlignment="1">
      <alignment horizontal="right" vertical="center"/>
    </xf>
    <xf numFmtId="0" fontId="113" fillId="0" borderId="8" xfId="0" applyFont="1" applyFill="1" applyBorder="1" applyAlignment="1">
      <alignment horizontal="center" vertical="center"/>
    </xf>
    <xf numFmtId="3" fontId="27" fillId="2" borderId="132" xfId="0" applyNumberFormat="1" applyFont="1" applyFill="1" applyBorder="1" applyAlignment="1">
      <alignment horizontal="right" vertical="center" wrapText="1"/>
    </xf>
    <xf numFmtId="3" fontId="84" fillId="2" borderId="55" xfId="0" applyNumberFormat="1" applyFont="1" applyFill="1" applyBorder="1" applyAlignment="1">
      <alignment horizontal="center"/>
    </xf>
    <xf numFmtId="3" fontId="84" fillId="2" borderId="1" xfId="0" applyNumberFormat="1" applyFont="1" applyFill="1" applyBorder="1" applyAlignment="1">
      <alignment horizontal="center"/>
    </xf>
    <xf numFmtId="0" fontId="10" fillId="2" borderId="9" xfId="0" applyFont="1" applyFill="1" applyBorder="1" applyAlignment="1">
      <alignment horizontal="centerContinuous" vertical="center"/>
    </xf>
    <xf numFmtId="167" fontId="23" fillId="2" borderId="52" xfId="15" applyNumberFormat="1" applyFont="1" applyFill="1" applyBorder="1" applyAlignment="1">
      <alignment horizontal="right" vertical="center"/>
    </xf>
    <xf numFmtId="167" fontId="23" fillId="2" borderId="123" xfId="15" applyNumberFormat="1" applyFont="1" applyFill="1" applyBorder="1" applyAlignment="1">
      <alignment horizontal="right" vertical="center"/>
    </xf>
    <xf numFmtId="169" fontId="23" fillId="2" borderId="37" xfId="15" applyNumberFormat="1" applyFont="1" applyFill="1" applyBorder="1" applyAlignment="1">
      <alignment horizontal="right" vertical="center"/>
    </xf>
    <xf numFmtId="168" fontId="23" fillId="2" borderId="34" xfId="15" applyNumberFormat="1" applyFont="1" applyFill="1" applyBorder="1" applyAlignment="1">
      <alignment horizontal="right" vertical="center"/>
    </xf>
    <xf numFmtId="168" fontId="23" fillId="2" borderId="123" xfId="15" applyNumberFormat="1" applyFont="1" applyFill="1" applyBorder="1" applyAlignment="1">
      <alignment horizontal="right" vertical="center"/>
    </xf>
    <xf numFmtId="167" fontId="23" fillId="2" borderId="37" xfId="15" applyNumberFormat="1" applyFont="1" applyFill="1" applyBorder="1" applyAlignment="1">
      <alignment horizontal="right" vertical="center"/>
    </xf>
    <xf numFmtId="168" fontId="10" fillId="2" borderId="34" xfId="15" applyNumberFormat="1" applyFont="1" applyFill="1" applyBorder="1" applyAlignment="1">
      <alignment horizontal="right" vertical="center"/>
    </xf>
    <xf numFmtId="0" fontId="114" fillId="0" borderId="0" xfId="0" applyFont="1" applyAlignment="1">
      <alignment/>
    </xf>
    <xf numFmtId="0" fontId="115" fillId="2" borderId="2" xfId="0" applyFont="1" applyFill="1" applyBorder="1" applyAlignment="1">
      <alignment horizontal="center"/>
    </xf>
    <xf numFmtId="167" fontId="104" fillId="2" borderId="2" xfId="15" applyNumberFormat="1" applyFont="1" applyFill="1" applyBorder="1" applyAlignment="1">
      <alignment horizontal="center" vertical="center" wrapText="1"/>
    </xf>
    <xf numFmtId="167" fontId="104" fillId="2" borderId="2" xfId="15" applyNumberFormat="1" applyFont="1" applyFill="1" applyBorder="1" applyAlignment="1">
      <alignment horizontal="center" vertical="center" wrapText="1"/>
    </xf>
    <xf numFmtId="167" fontId="116" fillId="2" borderId="2" xfId="15" applyNumberFormat="1" applyFont="1" applyFill="1" applyBorder="1" applyAlignment="1">
      <alignment horizontal="center" vertical="center" wrapText="1"/>
    </xf>
    <xf numFmtId="184" fontId="117" fillId="2" borderId="72" xfId="0" applyNumberFormat="1" applyFont="1" applyFill="1" applyBorder="1" applyAlignment="1">
      <alignment horizontal="center" vertical="center"/>
    </xf>
    <xf numFmtId="3" fontId="118" fillId="0" borderId="0" xfId="0" applyNumberFormat="1" applyFont="1" applyAlignment="1">
      <alignment/>
    </xf>
    <xf numFmtId="43" fontId="0" fillId="0" borderId="0" xfId="15" applyFont="1" applyAlignment="1">
      <alignment/>
    </xf>
    <xf numFmtId="171" fontId="5" fillId="4" borderId="37" xfId="0" applyNumberFormat="1" applyFont="1" applyFill="1" applyBorder="1" applyAlignment="1">
      <alignment horizontal="center" vertical="center"/>
    </xf>
    <xf numFmtId="0" fontId="28" fillId="2" borderId="28" xfId="0" applyFont="1" applyFill="1" applyBorder="1" applyAlignment="1">
      <alignment horizontal="center" vertical="center" wrapText="1"/>
    </xf>
    <xf numFmtId="3" fontId="4" fillId="2" borderId="121"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0" fontId="99" fillId="2" borderId="2" xfId="0" applyFont="1" applyFill="1" applyBorder="1" applyAlignment="1">
      <alignment horizontal="center" vertical="center" wrapText="1"/>
    </xf>
    <xf numFmtId="3" fontId="99" fillId="2" borderId="2" xfId="15" applyNumberFormat="1" applyFont="1" applyFill="1" applyBorder="1" applyAlignment="1">
      <alignment horizontal="right" vertical="center"/>
    </xf>
    <xf numFmtId="166" fontId="99" fillId="2" borderId="6" xfId="15" applyNumberFormat="1" applyFont="1" applyFill="1" applyBorder="1" applyAlignment="1">
      <alignment horizontal="center" vertical="center"/>
    </xf>
    <xf numFmtId="3" fontId="8" fillId="0" borderId="0" xfId="0" applyNumberFormat="1" applyFont="1" applyAlignment="1">
      <alignment/>
    </xf>
    <xf numFmtId="164" fontId="81" fillId="2" borderId="0" xfId="15" applyNumberFormat="1" applyFont="1" applyFill="1" applyBorder="1" applyAlignment="1">
      <alignment/>
    </xf>
    <xf numFmtId="166" fontId="94" fillId="2" borderId="2" xfId="15" applyNumberFormat="1" applyFont="1" applyFill="1" applyBorder="1" applyAlignment="1">
      <alignment horizontal="center" vertical="center"/>
    </xf>
    <xf numFmtId="168" fontId="94" fillId="2" borderId="2" xfId="15" applyNumberFormat="1" applyFont="1" applyFill="1" applyBorder="1" applyAlignment="1">
      <alignment horizontal="right" vertical="center"/>
    </xf>
    <xf numFmtId="3" fontId="118" fillId="0" borderId="0" xfId="0" applyNumberFormat="1" applyFont="1" applyAlignment="1">
      <alignment wrapText="1"/>
    </xf>
    <xf numFmtId="0" fontId="118" fillId="0" borderId="0" xfId="0" applyFont="1" applyAlignment="1">
      <alignment/>
    </xf>
    <xf numFmtId="167" fontId="94" fillId="2" borderId="2" xfId="15" applyNumberFormat="1" applyFont="1" applyFill="1" applyBorder="1" applyAlignment="1">
      <alignment horizontal="center" vertical="center"/>
    </xf>
    <xf numFmtId="3" fontId="84" fillId="2" borderId="110" xfId="0" applyNumberFormat="1" applyFont="1" applyFill="1" applyBorder="1" applyAlignment="1">
      <alignment horizontal="center"/>
    </xf>
    <xf numFmtId="0" fontId="99" fillId="3" borderId="0" xfId="0" applyFont="1" applyFill="1" applyBorder="1" applyAlignment="1">
      <alignment horizontal="center" vertical="center" wrapText="1"/>
    </xf>
    <xf numFmtId="3" fontId="99" fillId="3" borderId="0" xfId="15" applyNumberFormat="1" applyFont="1" applyFill="1" applyBorder="1" applyAlignment="1">
      <alignment horizontal="right" vertical="center"/>
    </xf>
    <xf numFmtId="166" fontId="99" fillId="3" borderId="0" xfId="15" applyNumberFormat="1" applyFont="1" applyFill="1" applyBorder="1" applyAlignment="1">
      <alignment horizontal="center" vertical="center"/>
    </xf>
    <xf numFmtId="3" fontId="5" fillId="2" borderId="149" xfId="15" applyNumberFormat="1" applyFont="1" applyFill="1" applyBorder="1" applyAlignment="1">
      <alignment horizontal="right" vertical="center"/>
    </xf>
    <xf numFmtId="3" fontId="5" fillId="2" borderId="82" xfId="15" applyNumberFormat="1" applyFont="1" applyFill="1" applyBorder="1" applyAlignment="1">
      <alignment vertical="center"/>
    </xf>
    <xf numFmtId="3" fontId="5" fillId="2" borderId="150" xfId="15" applyNumberFormat="1" applyFont="1" applyFill="1" applyBorder="1" applyAlignment="1">
      <alignment horizontal="right" vertical="center"/>
    </xf>
    <xf numFmtId="3" fontId="5" fillId="2" borderId="151" xfId="15" applyNumberFormat="1" applyFont="1" applyFill="1" applyBorder="1" applyAlignment="1">
      <alignment vertical="center"/>
    </xf>
    <xf numFmtId="3" fontId="5" fillId="2" borderId="42" xfId="15" applyNumberFormat="1" applyFont="1" applyFill="1" applyBorder="1" applyAlignment="1">
      <alignment horizontal="right" vertical="center"/>
    </xf>
    <xf numFmtId="164" fontId="5" fillId="2" borderId="43" xfId="15" applyNumberFormat="1" applyFont="1" applyFill="1" applyBorder="1" applyAlignment="1">
      <alignment/>
    </xf>
    <xf numFmtId="168" fontId="5" fillId="2" borderId="43" xfId="15" applyNumberFormat="1" applyFont="1" applyFill="1" applyBorder="1" applyAlignment="1">
      <alignment horizontal="right" vertical="center"/>
    </xf>
    <xf numFmtId="168" fontId="84" fillId="3" borderId="0" xfId="0" applyNumberFormat="1" applyFont="1" applyFill="1" applyBorder="1" applyAlignment="1">
      <alignment horizontal="center"/>
    </xf>
    <xf numFmtId="4" fontId="84" fillId="2" borderId="110" xfId="0" applyNumberFormat="1" applyFont="1" applyFill="1" applyBorder="1" applyAlignment="1">
      <alignment/>
    </xf>
    <xf numFmtId="0" fontId="18" fillId="4" borderId="110" xfId="0" applyNumberFormat="1" applyFont="1" applyFill="1" applyBorder="1" applyAlignment="1">
      <alignment horizontal="center" wrapText="1"/>
    </xf>
    <xf numFmtId="0" fontId="18" fillId="4" borderId="107" xfId="0" applyNumberFormat="1" applyFont="1" applyFill="1" applyBorder="1" applyAlignment="1">
      <alignment horizontal="center" wrapText="1"/>
    </xf>
    <xf numFmtId="0" fontId="101" fillId="0" borderId="0" xfId="0" applyFont="1" applyAlignment="1">
      <alignment horizontal="center"/>
    </xf>
    <xf numFmtId="0" fontId="18" fillId="4" borderId="14" xfId="0" applyNumberFormat="1" applyFont="1" applyFill="1" applyBorder="1" applyAlignment="1">
      <alignment horizontal="center" wrapText="1"/>
    </xf>
    <xf numFmtId="0" fontId="87" fillId="0" borderId="0" xfId="0" applyFont="1" applyAlignment="1">
      <alignment wrapText="1"/>
    </xf>
    <xf numFmtId="0" fontId="88" fillId="0" borderId="0" xfId="0" applyFont="1" applyAlignment="1">
      <alignment wrapText="1"/>
    </xf>
    <xf numFmtId="0" fontId="83" fillId="5" borderId="49" xfId="0" applyFont="1" applyFill="1" applyBorder="1" applyAlignment="1">
      <alignment/>
    </xf>
    <xf numFmtId="0" fontId="0" fillId="0" borderId="45" xfId="0" applyBorder="1" applyAlignment="1">
      <alignment/>
    </xf>
    <xf numFmtId="0" fontId="71" fillId="0" borderId="0" xfId="0" applyFont="1" applyAlignment="1">
      <alignment horizontal="center" wrapText="1"/>
    </xf>
    <xf numFmtId="0" fontId="72" fillId="0" borderId="0" xfId="0" applyFont="1" applyAlignment="1">
      <alignment horizontal="center" wrapText="1"/>
    </xf>
    <xf numFmtId="195" fontId="72" fillId="0" borderId="0" xfId="0" applyNumberFormat="1" applyFont="1" applyAlignment="1" quotePrefix="1">
      <alignment horizontal="center"/>
    </xf>
    <xf numFmtId="195" fontId="72" fillId="0" borderId="0" xfId="0" applyNumberFormat="1" applyFont="1" applyAlignment="1">
      <alignment horizontal="center"/>
    </xf>
    <xf numFmtId="0" fontId="72" fillId="0" borderId="0" xfId="0" applyFont="1" applyAlignment="1">
      <alignment horizontal="center"/>
    </xf>
    <xf numFmtId="0" fontId="75" fillId="0" borderId="0" xfId="0" applyFont="1" applyAlignment="1">
      <alignment horizontal="left"/>
    </xf>
    <xf numFmtId="0" fontId="0" fillId="0" borderId="0" xfId="0" applyAlignment="1">
      <alignment/>
    </xf>
    <xf numFmtId="0" fontId="106" fillId="0" borderId="0" xfId="0" applyFont="1" applyAlignment="1">
      <alignment horizontal="center" wrapText="1"/>
    </xf>
    <xf numFmtId="0" fontId="21" fillId="0" borderId="0" xfId="0" applyFont="1" applyAlignment="1">
      <alignment horizontal="center" wrapText="1"/>
    </xf>
    <xf numFmtId="0" fontId="13" fillId="0" borderId="0" xfId="0" applyFont="1" applyAlignment="1">
      <alignment horizontal="left" wrapText="1"/>
    </xf>
    <xf numFmtId="0" fontId="0" fillId="0" borderId="0" xfId="0" applyAlignment="1">
      <alignment horizontal="left" wrapText="1"/>
    </xf>
    <xf numFmtId="0" fontId="70" fillId="0" borderId="0" xfId="0" applyFont="1" applyAlignment="1">
      <alignment horizontal="center"/>
    </xf>
    <xf numFmtId="0" fontId="73" fillId="0" borderId="152" xfId="0" applyFont="1" applyBorder="1" applyAlignment="1">
      <alignment horizontal="center" wrapText="1"/>
    </xf>
    <xf numFmtId="0" fontId="0" fillId="0" borderId="153" xfId="0" applyBorder="1" applyAlignment="1">
      <alignment horizontal="center" wrapText="1"/>
    </xf>
    <xf numFmtId="0" fontId="15" fillId="0" borderId="0" xfId="0" applyFont="1" applyAlignment="1">
      <alignment wrapText="1"/>
    </xf>
    <xf numFmtId="0" fontId="28" fillId="3" borderId="54" xfId="0" applyFont="1" applyFill="1" applyBorder="1" applyAlignment="1">
      <alignment wrapText="1"/>
    </xf>
    <xf numFmtId="0" fontId="0" fillId="0" borderId="55" xfId="0" applyFont="1" applyBorder="1" applyAlignment="1">
      <alignment wrapText="1"/>
    </xf>
    <xf numFmtId="0" fontId="14" fillId="0" borderId="0" xfId="0" applyFont="1" applyAlignment="1">
      <alignment horizontal="left" wrapText="1"/>
    </xf>
    <xf numFmtId="0" fontId="14" fillId="0" borderId="0" xfId="0" applyFont="1" applyAlignment="1">
      <alignment horizontal="left"/>
    </xf>
    <xf numFmtId="0" fontId="63" fillId="2" borderId="154" xfId="0" applyFont="1" applyFill="1" applyBorder="1" applyAlignment="1">
      <alignment horizontal="center"/>
    </xf>
    <xf numFmtId="0" fontId="63" fillId="2" borderId="155" xfId="0" applyFont="1" applyFill="1" applyBorder="1" applyAlignment="1">
      <alignment horizontal="center"/>
    </xf>
    <xf numFmtId="0" fontId="18" fillId="0" borderId="1" xfId="0" applyFont="1" applyBorder="1" applyAlignment="1">
      <alignment wrapText="1"/>
    </xf>
    <xf numFmtId="0" fontId="8" fillId="0" borderId="1" xfId="0" applyFont="1" applyBorder="1" applyAlignment="1">
      <alignment wrapText="1"/>
    </xf>
    <xf numFmtId="0" fontId="13" fillId="0" borderId="45" xfId="0" applyFont="1" applyBorder="1" applyAlignment="1">
      <alignment horizontal="left" wrapText="1"/>
    </xf>
    <xf numFmtId="0" fontId="0" fillId="0" borderId="45" xfId="0" applyBorder="1" applyAlignment="1">
      <alignment horizontal="left" wrapText="1"/>
    </xf>
    <xf numFmtId="0" fontId="28" fillId="0" borderId="22" xfId="0" applyNumberFormat="1" applyFont="1" applyFill="1" applyBorder="1" applyAlignment="1">
      <alignment horizontal="left" vertical="center" wrapText="1"/>
    </xf>
    <xf numFmtId="0" fontId="0" fillId="0" borderId="22" xfId="0" applyNumberFormat="1" applyBorder="1" applyAlignment="1">
      <alignment wrapText="1"/>
    </xf>
    <xf numFmtId="0" fontId="28" fillId="0" borderId="0" xfId="0" applyFont="1" applyFill="1" applyBorder="1" applyAlignment="1">
      <alignment wrapText="1"/>
    </xf>
    <xf numFmtId="0" fontId="0" fillId="0" borderId="0" xfId="0" applyAlignment="1">
      <alignment wrapText="1"/>
    </xf>
    <xf numFmtId="0" fontId="5" fillId="2" borderId="21" xfId="0" applyFont="1" applyFill="1" applyBorder="1" applyAlignment="1">
      <alignment horizontal="center" vertical="center" wrapText="1"/>
    </xf>
    <xf numFmtId="0" fontId="0" fillId="0" borderId="49" xfId="0" applyBorder="1" applyAlignment="1">
      <alignment horizontal="center" vertical="center" wrapText="1"/>
    </xf>
    <xf numFmtId="0" fontId="5" fillId="2"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2" borderId="22" xfId="0" applyFill="1" applyBorder="1" applyAlignment="1">
      <alignment horizontal="center"/>
    </xf>
    <xf numFmtId="0" fontId="0" fillId="2" borderId="47" xfId="0" applyFill="1" applyBorder="1" applyAlignment="1">
      <alignment horizontal="center"/>
    </xf>
    <xf numFmtId="0" fontId="0" fillId="2" borderId="45" xfId="0" applyFill="1" applyBorder="1" applyAlignment="1">
      <alignment horizontal="center"/>
    </xf>
    <xf numFmtId="0" fontId="0" fillId="2" borderId="48" xfId="0" applyFill="1" applyBorder="1" applyAlignment="1">
      <alignment horizontal="center"/>
    </xf>
    <xf numFmtId="0" fontId="80" fillId="0" borderId="0" xfId="0" applyNumberFormat="1" applyFont="1" applyFill="1" applyBorder="1" applyAlignment="1">
      <alignment wrapText="1"/>
    </xf>
    <xf numFmtId="0" fontId="80" fillId="0" borderId="0" xfId="0" applyNumberFormat="1" applyFont="1" applyBorder="1" applyAlignment="1">
      <alignment wrapText="1"/>
    </xf>
    <xf numFmtId="0" fontId="5" fillId="0" borderId="22" xfId="0" applyFont="1" applyFill="1" applyBorder="1" applyAlignment="1">
      <alignment horizontal="center" vertical="center" wrapText="1"/>
    </xf>
    <xf numFmtId="0" fontId="21" fillId="0" borderId="47" xfId="0" applyFont="1" applyBorder="1" applyAlignment="1">
      <alignment/>
    </xf>
    <xf numFmtId="0" fontId="21" fillId="0" borderId="0" xfId="0" applyFont="1" applyBorder="1" applyAlignment="1">
      <alignment/>
    </xf>
    <xf numFmtId="0" fontId="21" fillId="0" borderId="78" xfId="0" applyFont="1" applyBorder="1" applyAlignment="1">
      <alignment/>
    </xf>
    <xf numFmtId="0" fontId="28" fillId="0" borderId="39" xfId="0" applyFont="1" applyFill="1" applyBorder="1" applyAlignment="1">
      <alignment horizontal="center" vertical="center" wrapText="1" shrinkToFit="1"/>
    </xf>
    <xf numFmtId="0" fontId="0" fillId="0" borderId="9" xfId="0" applyFont="1" applyBorder="1" applyAlignment="1">
      <alignment/>
    </xf>
    <xf numFmtId="0" fontId="28" fillId="0" borderId="156" xfId="0" applyFont="1" applyFill="1" applyBorder="1" applyAlignment="1">
      <alignment horizontal="center" vertical="center" wrapText="1"/>
    </xf>
    <xf numFmtId="0" fontId="0" fillId="0" borderId="94" xfId="0" applyFont="1" applyBorder="1" applyAlignment="1">
      <alignment horizontal="center" vertical="center" wrapText="1"/>
    </xf>
    <xf numFmtId="0" fontId="28" fillId="0" borderId="157" xfId="0" applyFont="1" applyFill="1" applyBorder="1" applyAlignment="1">
      <alignment horizontal="center" vertical="center" wrapText="1" shrinkToFit="1"/>
    </xf>
    <xf numFmtId="0" fontId="0" fillId="0" borderId="57" xfId="0" applyFont="1" applyBorder="1" applyAlignment="1">
      <alignment horizontal="center" vertical="center" wrapText="1" shrinkToFit="1"/>
    </xf>
    <xf numFmtId="0" fontId="28" fillId="0" borderId="39" xfId="0" applyFont="1" applyFill="1" applyBorder="1" applyAlignment="1">
      <alignment horizontal="center" vertical="center" wrapText="1"/>
    </xf>
    <xf numFmtId="0" fontId="0" fillId="0" borderId="9" xfId="0" applyFont="1" applyBorder="1" applyAlignment="1">
      <alignment horizontal="center" vertical="center" wrapText="1"/>
    </xf>
    <xf numFmtId="0" fontId="28" fillId="0" borderId="22" xfId="0" applyFont="1" applyFill="1" applyBorder="1" applyAlignment="1">
      <alignment horizontal="center" vertical="center" wrapText="1"/>
    </xf>
    <xf numFmtId="0" fontId="0" fillId="0" borderId="0" xfId="0" applyFont="1" applyBorder="1" applyAlignment="1">
      <alignment horizontal="center" vertical="center" wrapText="1"/>
    </xf>
    <xf numFmtId="0" fontId="28" fillId="0" borderId="21" xfId="0" applyFont="1" applyFill="1" applyBorder="1" applyAlignment="1">
      <alignment horizontal="center" vertical="center"/>
    </xf>
    <xf numFmtId="0" fontId="0" fillId="0" borderId="47"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vertical="center"/>
    </xf>
    <xf numFmtId="0" fontId="9" fillId="0" borderId="22" xfId="0" applyFont="1" applyBorder="1" applyAlignment="1">
      <alignment wrapText="1"/>
    </xf>
    <xf numFmtId="0" fontId="33" fillId="0" borderId="0" xfId="0" applyFont="1" applyFill="1" applyBorder="1" applyAlignment="1">
      <alignment wrapText="1"/>
    </xf>
    <xf numFmtId="0" fontId="6" fillId="0" borderId="0" xfId="0" applyFont="1" applyAlignment="1">
      <alignment horizontal="center" wrapText="1"/>
    </xf>
    <xf numFmtId="0" fontId="6" fillId="0" borderId="0" xfId="0" applyFont="1" applyAlignment="1">
      <alignment horizontal="left" wrapText="1"/>
    </xf>
    <xf numFmtId="0" fontId="18" fillId="0" borderId="0" xfId="0" applyFont="1" applyAlignment="1">
      <alignment horizontal="center" wrapText="1"/>
    </xf>
    <xf numFmtId="0" fontId="0" fillId="0" borderId="0" xfId="0" applyFont="1" applyAlignment="1">
      <alignment horizontal="center" wrapText="1"/>
    </xf>
    <xf numFmtId="0" fontId="18" fillId="3" borderId="39" xfId="0" applyFont="1" applyFill="1" applyBorder="1" applyAlignment="1">
      <alignment horizontal="center" vertical="center" wrapText="1"/>
    </xf>
    <xf numFmtId="0" fontId="0" fillId="0" borderId="9" xfId="0" applyBorder="1" applyAlignment="1">
      <alignment horizontal="center" vertical="center" wrapText="1"/>
    </xf>
    <xf numFmtId="0" fontId="9" fillId="0" borderId="0" xfId="0" applyFont="1" applyBorder="1" applyAlignment="1">
      <alignment horizontal="left" wrapText="1"/>
    </xf>
    <xf numFmtId="0" fontId="3" fillId="0" borderId="0" xfId="0" applyFont="1" applyAlignment="1">
      <alignment wrapText="1"/>
    </xf>
    <xf numFmtId="0" fontId="28" fillId="3" borderId="21" xfId="0" applyFont="1" applyFill="1" applyBorder="1" applyAlignment="1">
      <alignment horizontal="center" wrapText="1"/>
    </xf>
    <xf numFmtId="0" fontId="0" fillId="3" borderId="22" xfId="0" applyFill="1" applyBorder="1" applyAlignment="1">
      <alignment horizontal="center" wrapText="1"/>
    </xf>
    <xf numFmtId="0" fontId="33" fillId="3" borderId="51" xfId="0" applyFont="1" applyFill="1" applyBorder="1" applyAlignment="1">
      <alignment horizontal="center" wrapText="1"/>
    </xf>
    <xf numFmtId="0" fontId="33" fillId="3" borderId="28" xfId="0" applyFont="1" applyFill="1" applyBorder="1" applyAlignment="1">
      <alignment horizontal="center" wrapText="1"/>
    </xf>
    <xf numFmtId="0" fontId="5" fillId="0" borderId="0" xfId="0" applyFont="1" applyBorder="1" applyAlignment="1">
      <alignment horizontal="left" wrapText="1"/>
    </xf>
    <xf numFmtId="0" fontId="21" fillId="0" borderId="0" xfId="0" applyFont="1" applyAlignment="1">
      <alignment wrapText="1"/>
    </xf>
    <xf numFmtId="0" fontId="16" fillId="0" borderId="0" xfId="0" applyFont="1" applyAlignment="1">
      <alignment horizontal="center" wrapText="1"/>
    </xf>
    <xf numFmtId="0" fontId="0" fillId="0" borderId="0" xfId="0" applyAlignment="1">
      <alignment horizontal="center" wrapText="1"/>
    </xf>
    <xf numFmtId="0" fontId="10" fillId="0" borderId="158" xfId="15" applyNumberFormat="1" applyFont="1" applyBorder="1" applyAlignment="1">
      <alignment vertical="center" wrapText="1"/>
    </xf>
    <xf numFmtId="0" fontId="0" fillId="0" borderId="158" xfId="0" applyNumberFormat="1" applyFont="1" applyBorder="1" applyAlignment="1">
      <alignment vertical="center" wrapText="1"/>
    </xf>
    <xf numFmtId="0" fontId="0" fillId="0" borderId="158" xfId="0" applyFont="1" applyBorder="1" applyAlignment="1">
      <alignment wrapText="1"/>
    </xf>
    <xf numFmtId="0" fontId="12" fillId="3" borderId="159" xfId="0" applyFont="1" applyFill="1" applyBorder="1" applyAlignment="1">
      <alignment horizontal="center" vertical="center" wrapText="1"/>
    </xf>
    <xf numFmtId="0" fontId="0" fillId="0" borderId="160" xfId="0" applyBorder="1" applyAlignment="1">
      <alignment wrapText="1"/>
    </xf>
    <xf numFmtId="0" fontId="0" fillId="0" borderId="161" xfId="0" applyBorder="1" applyAlignment="1">
      <alignment wrapText="1"/>
    </xf>
    <xf numFmtId="0" fontId="15" fillId="0" borderId="162" xfId="0" applyFont="1" applyBorder="1" applyAlignment="1">
      <alignment horizontal="left" wrapText="1"/>
    </xf>
    <xf numFmtId="0" fontId="0" fillId="0" borderId="162" xfId="0" applyBorder="1" applyAlignment="1">
      <alignment horizontal="left" wrapText="1"/>
    </xf>
    <xf numFmtId="0" fontId="13" fillId="2" borderId="163" xfId="0" applyFont="1" applyFill="1" applyBorder="1" applyAlignment="1">
      <alignment wrapText="1"/>
    </xf>
    <xf numFmtId="0" fontId="13" fillId="2" borderId="33" xfId="0" applyFont="1" applyFill="1" applyBorder="1" applyAlignment="1">
      <alignment wrapText="1"/>
    </xf>
    <xf numFmtId="0" fontId="15" fillId="0" borderId="0" xfId="0" applyFont="1" applyAlignment="1">
      <alignment horizontal="center"/>
    </xf>
    <xf numFmtId="0" fontId="33" fillId="0" borderId="22" xfId="0" applyFont="1" applyBorder="1" applyAlignment="1">
      <alignment horizontal="justify" wrapText="1"/>
    </xf>
    <xf numFmtId="0" fontId="33" fillId="0" borderId="0" xfId="0" applyFont="1" applyBorder="1" applyAlignment="1">
      <alignment horizontal="left" vertical="center" wrapText="1"/>
    </xf>
    <xf numFmtId="0" fontId="0" fillId="0" borderId="0" xfId="0" applyAlignment="1">
      <alignment horizontal="left" vertical="center" wrapText="1"/>
    </xf>
    <xf numFmtId="0" fontId="99" fillId="4" borderId="21" xfId="0" applyFont="1" applyFill="1" applyBorder="1" applyAlignment="1">
      <alignment horizontal="center" wrapText="1"/>
    </xf>
    <xf numFmtId="0" fontId="0" fillId="0" borderId="22" xfId="0" applyBorder="1" applyAlignment="1">
      <alignment wrapText="1"/>
    </xf>
    <xf numFmtId="0" fontId="0" fillId="0" borderId="47" xfId="0" applyBorder="1" applyAlignment="1">
      <alignment wrapText="1"/>
    </xf>
    <xf numFmtId="0" fontId="28" fillId="5" borderId="23" xfId="0" applyFont="1" applyFill="1" applyBorder="1" applyAlignment="1">
      <alignment/>
    </xf>
    <xf numFmtId="0" fontId="0" fillId="0" borderId="0" xfId="0" applyFont="1" applyBorder="1" applyAlignment="1">
      <alignment/>
    </xf>
    <xf numFmtId="0" fontId="28" fillId="7" borderId="23" xfId="0" applyFont="1" applyFill="1" applyBorder="1" applyAlignment="1">
      <alignment wrapText="1"/>
    </xf>
    <xf numFmtId="0" fontId="0" fillId="0" borderId="0" xfId="0" applyFont="1" applyBorder="1" applyAlignment="1">
      <alignment wrapText="1"/>
    </xf>
    <xf numFmtId="0" fontId="0" fillId="0" borderId="78" xfId="0" applyFont="1" applyBorder="1" applyAlignment="1">
      <alignment wrapText="1"/>
    </xf>
    <xf numFmtId="0" fontId="5" fillId="2" borderId="144" xfId="0" applyFont="1" applyFill="1" applyBorder="1" applyAlignment="1">
      <alignment horizontal="center" vertical="center" wrapText="1"/>
    </xf>
    <xf numFmtId="0" fontId="21" fillId="0" borderId="93" xfId="0" applyFont="1" applyBorder="1" applyAlignment="1">
      <alignment horizontal="center" vertical="center" wrapText="1"/>
    </xf>
    <xf numFmtId="0" fontId="21" fillId="0" borderId="143" xfId="0" applyFont="1" applyBorder="1" applyAlignment="1">
      <alignment horizontal="center" vertical="center" wrapText="1"/>
    </xf>
    <xf numFmtId="0" fontId="14" fillId="0" borderId="0" xfId="0" applyFont="1" applyAlignment="1">
      <alignment wrapText="1"/>
    </xf>
    <xf numFmtId="0" fontId="17" fillId="0" borderId="0" xfId="0" applyFont="1" applyAlignment="1">
      <alignment wrapText="1"/>
    </xf>
    <xf numFmtId="0" fontId="33" fillId="0" borderId="0" xfId="0" applyFont="1" applyBorder="1" applyAlignment="1">
      <alignment horizontal="left" wrapText="1"/>
    </xf>
    <xf numFmtId="0" fontId="101" fillId="0" borderId="0" xfId="0" applyFont="1" applyAlignment="1">
      <alignment horizontal="center" wrapText="1"/>
    </xf>
    <xf numFmtId="0" fontId="8" fillId="0" borderId="0" xfId="0" applyFont="1" applyAlignment="1">
      <alignment horizontal="center" wrapText="1"/>
    </xf>
    <xf numFmtId="0" fontId="99" fillId="0" borderId="55" xfId="0" applyFont="1" applyBorder="1" applyAlignment="1">
      <alignment horizontal="center"/>
    </xf>
    <xf numFmtId="0" fontId="99" fillId="0" borderId="110" xfId="0" applyFont="1" applyBorder="1" applyAlignment="1">
      <alignment horizontal="center"/>
    </xf>
    <xf numFmtId="0" fontId="44" fillId="0" borderId="0" xfId="0" applyFont="1" applyBorder="1" applyAlignment="1">
      <alignment wrapText="1"/>
    </xf>
    <xf numFmtId="0" fontId="0" fillId="0" borderId="0" xfId="0" applyBorder="1" applyAlignment="1">
      <alignment wrapText="1"/>
    </xf>
    <xf numFmtId="0" fontId="44" fillId="0" borderId="0" xfId="0" applyFont="1" applyAlignment="1">
      <alignment wrapText="1"/>
    </xf>
    <xf numFmtId="0" fontId="9" fillId="2" borderId="16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6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20" xfId="15" applyNumberFormat="1" applyFont="1" applyFill="1" applyBorder="1" applyAlignment="1">
      <alignment horizontal="center" vertical="center" wrapText="1"/>
    </xf>
    <xf numFmtId="168" fontId="9" fillId="2" borderId="5" xfId="15" applyNumberFormat="1" applyFont="1" applyFill="1" applyBorder="1" applyAlignment="1">
      <alignment horizontal="center" vertical="center" wrapText="1"/>
    </xf>
    <xf numFmtId="0" fontId="104" fillId="2" borderId="21" xfId="0" applyFont="1" applyFill="1" applyBorder="1" applyAlignment="1">
      <alignment horizontal="center" vertical="center"/>
    </xf>
    <xf numFmtId="0" fontId="104" fillId="2" borderId="22" xfId="0" applyFont="1" applyFill="1" applyBorder="1" applyAlignment="1">
      <alignment horizontal="center" vertical="center"/>
    </xf>
    <xf numFmtId="0" fontId="104" fillId="2" borderId="47" xfId="0" applyFont="1" applyFill="1" applyBorder="1" applyAlignment="1">
      <alignment horizontal="center" vertical="center"/>
    </xf>
    <xf numFmtId="0" fontId="112" fillId="0" borderId="0" xfId="0" applyFont="1" applyAlignment="1">
      <alignment horizontal="justify" wrapText="1"/>
    </xf>
    <xf numFmtId="0" fontId="64" fillId="0" borderId="0" xfId="0" applyFont="1" applyAlignment="1">
      <alignment horizontal="center" wrapText="1"/>
    </xf>
    <xf numFmtId="0" fontId="22" fillId="3" borderId="51"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22" fillId="3" borderId="51"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0" xfId="0" applyFont="1" applyFill="1" applyBorder="1" applyAlignment="1">
      <alignment horizontal="center" vertical="center"/>
    </xf>
    <xf numFmtId="0" fontId="12" fillId="0" borderId="0" xfId="0" applyFont="1" applyAlignment="1">
      <alignment horizontal="center" wrapText="1"/>
    </xf>
    <xf numFmtId="0" fontId="114" fillId="0" borderId="0" xfId="0" applyFont="1" applyAlignment="1">
      <alignment horizontal="center" wrapText="1"/>
    </xf>
    <xf numFmtId="0" fontId="112" fillId="0" borderId="22" xfId="0" applyFont="1" applyBorder="1" applyAlignment="1">
      <alignment horizontal="justify" wrapText="1" shrinkToFit="1"/>
    </xf>
    <xf numFmtId="0" fontId="0" fillId="0" borderId="0" xfId="0" applyBorder="1" applyAlignment="1">
      <alignment wrapText="1" shrinkToFit="1"/>
    </xf>
    <xf numFmtId="0" fontId="0" fillId="0" borderId="22" xfId="0" applyBorder="1" applyAlignment="1">
      <alignment wrapText="1" shrinkToFi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Tur"/>
                <a:ea typeface="Arial Tur"/>
                <a:cs typeface="Arial Tur"/>
              </a:rPr>
              <a:t>GRAFİK 1- KADRO VE ÇALIŞAN PERSONEL DAĞILIMI (31.01.2006)</a:t>
            </a:r>
          </a:p>
        </c:rich>
      </c:tx>
      <c:layout/>
      <c:spPr>
        <a:noFill/>
        <a:ln>
          <a:noFill/>
        </a:ln>
      </c:spPr>
    </c:title>
    <c:plotArea>
      <c:layout>
        <c:manualLayout>
          <c:xMode val="edge"/>
          <c:yMode val="edge"/>
          <c:x val="0"/>
          <c:y val="0.05725"/>
          <c:w val="0.9825"/>
          <c:h val="0.88825"/>
        </c:manualLayout>
      </c:layout>
      <c:barChart>
        <c:barDir val="col"/>
        <c:grouping val="clustered"/>
        <c:varyColors val="0"/>
        <c:ser>
          <c:idx val="0"/>
          <c:order val="0"/>
          <c:tx>
            <c:v>KARDO SAYISI</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Tur"/>
                    <a:ea typeface="Arial Tur"/>
                    <a:cs typeface="Arial Tur"/>
                  </a:defRPr>
                </a:pPr>
              </a:p>
            </c:txPr>
            <c:showLegendKey val="0"/>
            <c:showVal val="1"/>
            <c:showBubbleSize val="0"/>
            <c:showCatName val="0"/>
            <c:showSerName val="0"/>
            <c:showPercent val="0"/>
          </c:dLbls>
          <c:cat>
            <c:strRef>
              <c:f>'(3)'!$A$6:$A$9</c:f>
              <c:strCache/>
            </c:strRef>
          </c:cat>
          <c:val>
            <c:numRef>
              <c:f>'(3)'!$C$6:$C$9</c:f>
              <c:numCache>
                <c:ptCount val="4"/>
                <c:pt idx="0">
                  <c:v>0</c:v>
                </c:pt>
                <c:pt idx="1">
                  <c:v>0</c:v>
                </c:pt>
                <c:pt idx="2">
                  <c:v>0</c:v>
                </c:pt>
                <c:pt idx="3">
                  <c:v>0</c:v>
                </c:pt>
              </c:numCache>
            </c:numRef>
          </c:val>
        </c:ser>
        <c:ser>
          <c:idx val="1"/>
          <c:order val="1"/>
          <c:tx>
            <c:v>ÇALIŞAN SAYISI</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numFmt formatCode="General" sourceLinked="1"/>
            <c:spPr>
              <a:solidFill>
                <a:srgbClr val="FFFFCC"/>
              </a:solidFill>
              <a:ln w="3175">
                <a:noFill/>
              </a:ln>
            </c:spPr>
            <c:txPr>
              <a:bodyPr vert="horz" rot="0" anchor="ctr"/>
              <a:lstStyle/>
              <a:p>
                <a:pPr algn="ctr">
                  <a:defRPr lang="en-US" cap="none" sz="800" b="0" i="0" u="none" baseline="0">
                    <a:latin typeface="Arial Tur"/>
                    <a:ea typeface="Arial Tur"/>
                    <a:cs typeface="Arial Tur"/>
                  </a:defRPr>
                </a:pPr>
              </a:p>
            </c:txPr>
            <c:showLegendKey val="0"/>
            <c:showVal val="1"/>
            <c:showBubbleSize val="0"/>
            <c:showCatName val="0"/>
            <c:showSerName val="0"/>
            <c:showPercent val="0"/>
          </c:dLbls>
          <c:cat>
            <c:strRef>
              <c:f>'(3)'!$A$6:$A$9</c:f>
              <c:strCache/>
            </c:strRef>
          </c:cat>
          <c:val>
            <c:numRef>
              <c:f>'(3)'!$E$6:$E$9</c:f>
              <c:numCache>
                <c:ptCount val="4"/>
                <c:pt idx="0">
                  <c:v>0</c:v>
                </c:pt>
                <c:pt idx="1">
                  <c:v>0</c:v>
                </c:pt>
                <c:pt idx="2">
                  <c:v>0</c:v>
                </c:pt>
                <c:pt idx="3">
                  <c:v>0</c:v>
                </c:pt>
              </c:numCache>
            </c:numRef>
          </c:val>
        </c:ser>
        <c:axId val="15785478"/>
        <c:axId val="7851575"/>
      </c:barChart>
      <c:catAx>
        <c:axId val="15785478"/>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Tur"/>
                <a:ea typeface="Arial Tur"/>
                <a:cs typeface="Arial Tur"/>
              </a:defRPr>
            </a:pPr>
          </a:p>
        </c:txPr>
        <c:crossAx val="7851575"/>
        <c:crosses val="autoZero"/>
        <c:auto val="1"/>
        <c:lblOffset val="100"/>
        <c:noMultiLvlLbl val="0"/>
      </c:catAx>
      <c:valAx>
        <c:axId val="785157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Tur"/>
                <a:ea typeface="Arial Tur"/>
                <a:cs typeface="Arial Tur"/>
              </a:defRPr>
            </a:pPr>
          </a:p>
        </c:txPr>
        <c:crossAx val="15785478"/>
        <c:crossesAt val="1"/>
        <c:crossBetween val="between"/>
        <c:dispUnits/>
      </c:valAx>
      <c:spPr>
        <a:solidFill>
          <a:srgbClr val="FFFFFF"/>
        </a:solidFill>
        <a:ln w="12700">
          <a:solidFill>
            <a:srgbClr val="FFFFFF"/>
          </a:solidFill>
        </a:ln>
      </c:spPr>
    </c:plotArea>
    <c:legend>
      <c:legendPos val="r"/>
      <c:layout>
        <c:manualLayout>
          <c:xMode val="edge"/>
          <c:yMode val="edge"/>
          <c:x val="0.4875"/>
          <c:y val="0.2555"/>
        </c:manualLayout>
      </c:layout>
      <c:overlay val="0"/>
    </c:legend>
    <c:plotVisOnly val="1"/>
    <c:dispBlanksAs val="gap"/>
    <c:showDLblsOverMax val="0"/>
  </c:chart>
  <c:spPr>
    <a:ln w="12700">
      <a:solidFill/>
    </a:ln>
  </c:spPr>
  <c:txPr>
    <a:bodyPr vert="horz" rot="0"/>
    <a:lstStyle/>
    <a:p>
      <a:pPr>
        <a:defRPr lang="en-US" cap="none" sz="1000" b="0" i="0" u="none" baseline="0">
          <a:latin typeface="Arial Tur"/>
          <a:ea typeface="Arial Tur"/>
          <a:cs typeface="Arial Tu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Tur"/>
                <a:ea typeface="Arial Tur"/>
                <a:cs typeface="Arial Tur"/>
              </a:rPr>
              <a:t>GRAFİK 10 - 2005 Yılı Prim Gelirlerinin Emekli Ödemelerini Karşılama Oranı 
</a:t>
            </a:r>
            <a:r>
              <a:rPr lang="en-US" cap="none" sz="850" b="1" i="0" u="none" baseline="0">
                <a:latin typeface="Arial Tur"/>
                <a:ea typeface="Arial Tur"/>
                <a:cs typeface="Arial Tur"/>
              </a:rPr>
              <a:t>(Compensation rate of Pension Payments by Premium Incomes)</a:t>
            </a:r>
          </a:p>
        </c:rich>
      </c:tx>
      <c:layout/>
      <c:spPr>
        <a:noFill/>
        <a:ln>
          <a:noFill/>
        </a:ln>
      </c:spPr>
    </c:title>
    <c:plotArea>
      <c:layout>
        <c:manualLayout>
          <c:xMode val="edge"/>
          <c:yMode val="edge"/>
          <c:x val="0.01675"/>
          <c:y val="0.21975"/>
          <c:w val="0.959"/>
          <c:h val="0.78175"/>
        </c:manualLayout>
      </c:layout>
      <c:lineChart>
        <c:grouping val="stacke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5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Tur"/>
                    <a:ea typeface="Arial Tur"/>
                    <a:cs typeface="Arial Tur"/>
                  </a:defRPr>
                </a:pPr>
              </a:p>
            </c:txPr>
            <c:showLegendKey val="0"/>
            <c:showVal val="1"/>
            <c:showBubbleSize val="0"/>
            <c:showCatName val="0"/>
            <c:showSerName val="0"/>
            <c:showLeaderLines val="1"/>
            <c:showPercent val="0"/>
          </c:dLbls>
          <c:cat>
            <c:strRef>
              <c:f>'(10)'!$A$5:$A$17</c:f>
              <c:strCache/>
            </c:strRef>
          </c:cat>
          <c:val>
            <c:numRef>
              <c:f>'(10)'!$D$5:$D$17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20324288"/>
        <c:axId val="48700865"/>
      </c:lineChart>
      <c:catAx>
        <c:axId val="20324288"/>
        <c:scaling>
          <c:orientation val="minMax"/>
        </c:scaling>
        <c:axPos val="b"/>
        <c:delete val="0"/>
        <c:numFmt formatCode="General" sourceLinked="1"/>
        <c:majorTickMark val="out"/>
        <c:minorTickMark val="none"/>
        <c:tickLblPos val="nextTo"/>
        <c:txPr>
          <a:bodyPr/>
          <a:lstStyle/>
          <a:p>
            <a:pPr>
              <a:defRPr lang="en-US" cap="none" sz="1150" b="1" i="0" u="none" baseline="0">
                <a:latin typeface="Arial Tur"/>
                <a:ea typeface="Arial Tur"/>
                <a:cs typeface="Arial Tur"/>
              </a:defRPr>
            </a:pPr>
          </a:p>
        </c:txPr>
        <c:crossAx val="48700865"/>
        <c:crosses val="autoZero"/>
        <c:auto val="1"/>
        <c:lblOffset val="100"/>
        <c:noMultiLvlLbl val="0"/>
      </c:catAx>
      <c:valAx>
        <c:axId val="48700865"/>
        <c:scaling>
          <c:orientation val="minMax"/>
        </c:scaling>
        <c:axPos val="l"/>
        <c:majorGridlines>
          <c:spPr>
            <a:ln w="12700">
              <a:solidFill/>
            </a:ln>
          </c:spPr>
        </c:majorGridlines>
        <c:delete val="0"/>
        <c:numFmt formatCode="General" sourceLinked="1"/>
        <c:majorTickMark val="out"/>
        <c:minorTickMark val="none"/>
        <c:tickLblPos val="nextTo"/>
        <c:crossAx val="20324288"/>
        <c:crossesAt val="1"/>
        <c:crossBetween val="between"/>
        <c:dispUnits/>
      </c:valAx>
      <c:spPr>
        <a:solidFill>
          <a:srgbClr val="FFFFFF"/>
        </a:solidFill>
        <a:ln w="12700">
          <a:solidFill>
            <a:srgbClr val="808080"/>
          </a:solidFill>
          <a:prstDash val="sysDot"/>
        </a:ln>
      </c:spPr>
    </c:plotArea>
    <c:plotVisOnly val="1"/>
    <c:dispBlanksAs val="gap"/>
    <c:showDLblsOverMax val="0"/>
  </c:chart>
  <c:spPr>
    <a:ln w="25400">
      <a:solidFill/>
    </a:ln>
  </c:spPr>
  <c:txPr>
    <a:bodyPr vert="horz" rot="0"/>
    <a:lstStyle/>
    <a:p>
      <a:pPr>
        <a:defRPr lang="en-US" cap="none" sz="1050" b="0" i="0" u="none" baseline="0">
          <a:latin typeface="Arial Tur"/>
          <a:ea typeface="Arial Tur"/>
          <a:cs typeface="Arial Tu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11 -2004 YILI HAZİNEDEN ALINANLAR (MİLYAR TL.)</a:t>
            </a:r>
          </a:p>
        </c:rich>
      </c:tx>
      <c:layout>
        <c:manualLayout>
          <c:xMode val="factor"/>
          <c:yMode val="factor"/>
          <c:x val="-0.0165"/>
          <c:y val="-0.0195"/>
        </c:manualLayout>
      </c:layout>
      <c:spPr>
        <a:noFill/>
        <a:ln>
          <a:noFill/>
        </a:ln>
      </c:spPr>
    </c:title>
    <c:view3D>
      <c:rotX val="15"/>
      <c:hPercent val="100"/>
      <c:rotY val="0"/>
      <c:depthPercent val="100"/>
      <c:rAngAx val="1"/>
    </c:view3D>
    <c:plotArea>
      <c:layout>
        <c:manualLayout>
          <c:xMode val="edge"/>
          <c:yMode val="edge"/>
          <c:x val="0.1615"/>
          <c:y val="0.44925"/>
          <c:w val="0.572"/>
          <c:h val="0.37575"/>
        </c:manualLayout>
      </c:layout>
      <c:pie3DChart>
        <c:varyColors val="1"/>
        <c:ser>
          <c:idx val="0"/>
          <c:order val="0"/>
          <c:spPr>
            <a:solidFill>
              <a:srgbClr val="CCFFFF"/>
            </a:solidFill>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0080"/>
              </a:solidFill>
            </c:spPr>
          </c:dP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350" b="1" i="0" u="none" baseline="0">
                      <a:latin typeface="Arial Tur"/>
                      <a:ea typeface="Arial Tur"/>
                      <a:cs typeface="Arial Tu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350" b="1" i="0" u="none" baseline="0">
                      <a:latin typeface="Arial Tur"/>
                      <a:ea typeface="Arial Tur"/>
                      <a:cs typeface="Arial Tu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1"/>
          </c:dLbls>
          <c:cat>
            <c:strRef>
              <c:f>'(12)'!$D$4:$E$4</c:f>
              <c:strCache>
                <c:ptCount val="2"/>
                <c:pt idx="0">
                  <c:v>Hazine Yardımı</c:v>
                </c:pt>
                <c:pt idx="1">
                  <c:v>Bağ-Kur Adına Al.</c:v>
                </c:pt>
              </c:strCache>
            </c:strRef>
          </c:cat>
          <c:val>
            <c:numRef>
              <c:f>'(12)'!$D$17:$E$17</c:f>
              <c:numCache>
                <c:ptCount val="2"/>
                <c:pt idx="0">
                  <c:v>500000</c:v>
                </c:pt>
                <c:pt idx="1">
                  <c:v>133000</c:v>
                </c:pt>
              </c:numCache>
            </c:numRef>
          </c:val>
        </c:ser>
      </c:pie3DChart>
      <c:spPr>
        <a:noFill/>
        <a:ln>
          <a:noFill/>
        </a:ln>
      </c:spPr>
    </c:plotArea>
    <c:legend>
      <c:legendPos val="t"/>
      <c:layout>
        <c:manualLayout>
          <c:xMode val="edge"/>
          <c:yMode val="edge"/>
          <c:x val="0.63225"/>
          <c:y val="0.21"/>
        </c:manualLayout>
      </c:layout>
      <c:overlay val="0"/>
      <c:txPr>
        <a:bodyPr vert="horz" rot="0"/>
        <a:lstStyle/>
        <a:p>
          <a:pPr>
            <a:defRPr lang="en-US" cap="none" sz="800" b="0" i="0" u="none" baseline="0">
              <a:latin typeface="Arial Tur"/>
              <a:ea typeface="Arial Tur"/>
              <a:cs typeface="Arial Tur"/>
            </a:defRPr>
          </a:pPr>
        </a:p>
      </c:txPr>
    </c:legend>
    <c:sideWall>
      <c:thickness val="0"/>
    </c:sideWall>
    <c:backWall>
      <c:thickness val="0"/>
    </c:backWall>
    <c:plotVisOnly val="1"/>
    <c:dispBlanksAs val="gap"/>
    <c:showDLblsOverMax val="0"/>
  </c:chart>
  <c:txPr>
    <a:bodyPr vert="horz" rot="0"/>
    <a:lstStyle/>
    <a:p>
      <a:pPr>
        <a:defRPr lang="en-US" cap="none" sz="875" b="0" i="0" u="none" baseline="0">
          <a:latin typeface="Arial Tur"/>
          <a:ea typeface="Arial Tur"/>
          <a:cs typeface="Arial Tu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12 - 2004 YILI HAZİNEDEN ALINANLAR (MİLYON $)</a:t>
            </a:r>
          </a:p>
        </c:rich>
      </c:tx>
      <c:layout/>
      <c:spPr>
        <a:noFill/>
        <a:ln>
          <a:noFill/>
        </a:ln>
      </c:spPr>
    </c:title>
    <c:view3D>
      <c:rotX val="15"/>
      <c:hPercent val="100"/>
      <c:rotY val="160"/>
      <c:depthPercent val="100"/>
      <c:rAngAx val="1"/>
    </c:view3D>
    <c:plotArea>
      <c:layout>
        <c:manualLayout>
          <c:xMode val="edge"/>
          <c:yMode val="edge"/>
          <c:x val="0.209"/>
          <c:y val="0.43"/>
          <c:w val="0.50575"/>
          <c:h val="0.37425"/>
        </c:manualLayout>
      </c:layout>
      <c:pie3DChart>
        <c:varyColors val="1"/>
        <c:ser>
          <c:idx val="0"/>
          <c:order val="0"/>
          <c:spPr>
            <a:solidFill>
              <a:srgbClr val="CCFFFF"/>
            </a:solidFill>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333399"/>
              </a:solidFill>
            </c:spPr>
          </c:dPt>
          <c:dLbls>
            <c:dLbl>
              <c:idx val="0"/>
              <c:layout>
                <c:manualLayout>
                  <c:x val="0"/>
                  <c:y val="0"/>
                </c:manualLayout>
              </c:layout>
              <c:txPr>
                <a:bodyPr vert="horz" rot="0"/>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1"/>
          </c:dLbls>
          <c:cat>
            <c:strRef>
              <c:f>'(12)'!$D$20:$E$20</c:f>
              <c:strCache>
                <c:ptCount val="2"/>
                <c:pt idx="0">
                  <c:v>Hazine Yardımı</c:v>
                </c:pt>
                <c:pt idx="1">
                  <c:v>Bağ-Kur Adına Al.</c:v>
                </c:pt>
              </c:strCache>
            </c:strRef>
          </c:cat>
          <c:val>
            <c:numRef>
              <c:f>'(12)'!$D$33:$E$33</c:f>
              <c:numCache>
                <c:ptCount val="2"/>
                <c:pt idx="0">
                  <c:v>378.8165770134101</c:v>
                </c:pt>
                <c:pt idx="1">
                  <c:v>100.76520948556708</c:v>
                </c:pt>
              </c:numCache>
            </c:numRef>
          </c:val>
        </c:ser>
        <c:firstSliceAng val="160"/>
      </c:pie3DChart>
      <c:spPr>
        <a:noFill/>
        <a:ln>
          <a:noFill/>
        </a:ln>
      </c:spPr>
    </c:plotArea>
    <c:legend>
      <c:legendPos val="t"/>
      <c:layout>
        <c:manualLayout>
          <c:xMode val="edge"/>
          <c:yMode val="edge"/>
          <c:x val="0.3735"/>
          <c:y val="0.1495"/>
        </c:manualLayout>
      </c:layout>
      <c:overlay val="0"/>
      <c:txPr>
        <a:bodyPr vert="horz" rot="0"/>
        <a:lstStyle/>
        <a:p>
          <a:pPr>
            <a:defRPr lang="en-US" cap="none" sz="800" b="0" i="0" u="none" baseline="0">
              <a:latin typeface="Arial Tur"/>
              <a:ea typeface="Arial Tur"/>
              <a:cs typeface="Arial Tur"/>
            </a:defRPr>
          </a:pPr>
        </a:p>
      </c:txPr>
    </c:legend>
    <c:sideWall>
      <c:thickness val="0"/>
    </c:sideWall>
    <c:backWall>
      <c:thickness val="0"/>
    </c:backWall>
    <c:plotVisOnly val="1"/>
    <c:dispBlanksAs val="gap"/>
    <c:showDLblsOverMax val="0"/>
  </c:chart>
  <c:txPr>
    <a:bodyPr vert="horz" rot="0"/>
    <a:lstStyle/>
    <a:p>
      <a:pPr>
        <a:defRPr lang="en-US" cap="none" sz="875" b="0" i="0" u="none" baseline="0">
          <a:latin typeface="Arial Tur"/>
          <a:ea typeface="Arial Tur"/>
          <a:cs typeface="Arial Tu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11 -2005 YILI HAZİNEDEN ALINANLAR (MİLYAR TL.)</a:t>
            </a:r>
          </a:p>
        </c:rich>
      </c:tx>
      <c:layout>
        <c:manualLayout>
          <c:xMode val="factor"/>
          <c:yMode val="factor"/>
          <c:x val="-0.0165"/>
          <c:y val="-0.0195"/>
        </c:manualLayout>
      </c:layout>
      <c:spPr>
        <a:noFill/>
        <a:ln>
          <a:noFill/>
        </a:ln>
      </c:spPr>
    </c:title>
    <c:view3D>
      <c:rotX val="15"/>
      <c:hPercent val="100"/>
      <c:rotY val="0"/>
      <c:depthPercent val="100"/>
      <c:rAngAx val="1"/>
    </c:view3D>
    <c:plotArea>
      <c:layout>
        <c:manualLayout>
          <c:xMode val="edge"/>
          <c:yMode val="edge"/>
          <c:x val="0.1615"/>
          <c:y val="0.44925"/>
          <c:w val="0.572"/>
          <c:h val="0.37575"/>
        </c:manualLayout>
      </c:layout>
      <c:pie3DChart>
        <c:varyColors val="1"/>
        <c:ser>
          <c:idx val="0"/>
          <c:order val="0"/>
          <c:spPr>
            <a:solidFill>
              <a:srgbClr val="CCFFFF"/>
            </a:solidFill>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0080"/>
              </a:solidFill>
            </c:spPr>
          </c:dP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350" b="1" i="0" u="none" baseline="0">
                      <a:latin typeface="Arial Tur"/>
                      <a:ea typeface="Arial Tur"/>
                      <a:cs typeface="Arial Tu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350" b="1" i="0" u="none" baseline="0">
                      <a:latin typeface="Arial Tur"/>
                      <a:ea typeface="Arial Tur"/>
                      <a:cs typeface="Arial Tu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1"/>
          </c:dLbls>
          <c:cat>
            <c:strRef>
              <c:f>'(11)'!$D$4:$E$4</c:f>
              <c:strCache/>
            </c:strRef>
          </c:cat>
          <c:val>
            <c:numRef>
              <c:f>'(11)'!$D$5:$E$5</c:f>
              <c:numCache>
                <c:ptCount val="2"/>
                <c:pt idx="0">
                  <c:v>0</c:v>
                </c:pt>
                <c:pt idx="1">
                  <c:v>0</c:v>
                </c:pt>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'(11)'!$D$6:$E$6</c:f>
              <c:numCache>
                <c:ptCount val="2"/>
                <c:pt idx="0">
                  <c:v>0</c:v>
                </c:pt>
                <c:pt idx="1">
                  <c:v>0</c:v>
                </c:pt>
              </c:numCache>
            </c:numRef>
          </c:val>
        </c:ser>
        <c:ser>
          <c:idx val="2"/>
          <c:order val="2"/>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'(11)'!$D$7:$E$7</c:f>
              <c:numCache>
                <c:ptCount val="2"/>
                <c:pt idx="0">
                  <c:v>0</c:v>
                </c:pt>
                <c:pt idx="1">
                  <c:v>0</c:v>
                </c:pt>
              </c:numCache>
            </c:numRef>
          </c:val>
        </c:ser>
        <c:ser>
          <c:idx val="3"/>
          <c:order val="3"/>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'(11)'!$D$8:$E$8</c:f>
              <c:numCache>
                <c:ptCount val="2"/>
                <c:pt idx="0">
                  <c:v>0</c:v>
                </c:pt>
                <c:pt idx="1">
                  <c:v>0</c:v>
                </c:pt>
              </c:numCache>
            </c:numRef>
          </c:val>
        </c:ser>
        <c:ser>
          <c:idx val="4"/>
          <c:order val="4"/>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'(11)'!$D$9:$E$9</c:f>
              <c:numCache>
                <c:ptCount val="2"/>
                <c:pt idx="0">
                  <c:v>0</c:v>
                </c:pt>
                <c:pt idx="1">
                  <c:v>0</c:v>
                </c:pt>
              </c:numCache>
            </c:numRef>
          </c:val>
        </c:ser>
        <c:ser>
          <c:idx val="5"/>
          <c:order val="5"/>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'(11)'!$D$10:$E$10</c:f>
              <c:numCache>
                <c:ptCount val="2"/>
                <c:pt idx="0">
                  <c:v>0</c:v>
                </c:pt>
                <c:pt idx="1">
                  <c:v>0</c:v>
                </c:pt>
              </c:numCache>
            </c:numRef>
          </c:val>
        </c:ser>
        <c:ser>
          <c:idx val="6"/>
          <c:order val="6"/>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'(11)'!$D$11:$E$11</c:f>
              <c:numCache>
                <c:ptCount val="2"/>
                <c:pt idx="0">
                  <c:v>0</c:v>
                </c:pt>
                <c:pt idx="1">
                  <c:v>0</c:v>
                </c:pt>
              </c:numCache>
            </c:numRef>
          </c:val>
        </c:ser>
        <c:ser>
          <c:idx val="7"/>
          <c:order val="7"/>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'(11)'!$D$12:$E$12</c:f>
              <c:numCache>
                <c:ptCount val="2"/>
                <c:pt idx="0">
                  <c:v>0</c:v>
                </c:pt>
                <c:pt idx="1">
                  <c:v>0</c:v>
                </c:pt>
              </c:numCache>
            </c:numRef>
          </c:val>
        </c:ser>
        <c:ser>
          <c:idx val="8"/>
          <c:order val="8"/>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'(11)'!$D$13:$E$13</c:f>
              <c:numCache>
                <c:ptCount val="2"/>
                <c:pt idx="0">
                  <c:v>0</c:v>
                </c:pt>
                <c:pt idx="1">
                  <c:v>0</c:v>
                </c:pt>
              </c:numCache>
            </c:numRef>
          </c:val>
        </c:ser>
        <c:ser>
          <c:idx val="9"/>
          <c:order val="9"/>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'(11)'!$D$14:$E$14</c:f>
              <c:numCache>
                <c:ptCount val="2"/>
                <c:pt idx="0">
                  <c:v>0</c:v>
                </c:pt>
                <c:pt idx="1">
                  <c:v>0</c:v>
                </c:pt>
              </c:numCache>
            </c:numRef>
          </c:val>
        </c:ser>
        <c:ser>
          <c:idx val="10"/>
          <c:order val="1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'(11)'!$D$15:$E$15</c:f>
              <c:numCache>
                <c:ptCount val="2"/>
                <c:pt idx="0">
                  <c:v>0</c:v>
                </c:pt>
                <c:pt idx="1">
                  <c:v>0</c:v>
                </c:pt>
              </c:numCache>
            </c:numRef>
          </c:val>
        </c:ser>
        <c:ser>
          <c:idx val="11"/>
          <c:order val="11"/>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'(11)'!$D$16:$E$16</c:f>
              <c:numCache>
                <c:ptCount val="2"/>
                <c:pt idx="0">
                  <c:v>0</c:v>
                </c:pt>
                <c:pt idx="1">
                  <c:v>0</c:v>
                </c:pt>
              </c:numCache>
            </c:numRef>
          </c:val>
        </c:ser>
        <c:ser>
          <c:idx val="12"/>
          <c:order val="12"/>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'(11)'!$D$4:$E$4</c:f>
              <c:strCache/>
            </c:strRef>
          </c:cat>
          <c:val>
            <c:numRef>
              <c:f>'(11)'!$D$17:$E$17</c:f>
              <c:numCache>
                <c:ptCount val="2"/>
                <c:pt idx="0">
                  <c:v>0</c:v>
                </c:pt>
                <c:pt idx="1">
                  <c:v>0</c:v>
                </c:pt>
              </c:numCache>
            </c:numRef>
          </c:val>
        </c:ser>
      </c:pie3DChart>
      <c:spPr>
        <a:noFill/>
        <a:ln>
          <a:noFill/>
        </a:ln>
      </c:spPr>
    </c:plotArea>
    <c:legend>
      <c:legendPos val="t"/>
      <c:layout>
        <c:manualLayout>
          <c:xMode val="edge"/>
          <c:yMode val="edge"/>
          <c:x val="0.733"/>
          <c:y val="0.21"/>
        </c:manualLayout>
      </c:layout>
      <c:overlay val="0"/>
      <c:txPr>
        <a:bodyPr vert="horz" rot="0"/>
        <a:lstStyle/>
        <a:p>
          <a:pPr>
            <a:defRPr lang="en-US" cap="none" sz="800" b="0" i="0" u="none" baseline="0">
              <a:latin typeface="Arial Tur"/>
              <a:ea typeface="Arial Tur"/>
              <a:cs typeface="Arial Tur"/>
            </a:defRPr>
          </a:pPr>
        </a:p>
      </c:txPr>
    </c:legend>
    <c:sideWall>
      <c:thickness val="0"/>
    </c:sideWall>
    <c:backWall>
      <c:thickness val="0"/>
    </c:backWall>
    <c:plotVisOnly val="1"/>
    <c:dispBlanksAs val="gap"/>
    <c:showDLblsOverMax val="0"/>
  </c:chart>
  <c:txPr>
    <a:bodyPr vert="horz" rot="0"/>
    <a:lstStyle/>
    <a:p>
      <a:pPr>
        <a:defRPr lang="en-US" cap="none" sz="875" b="0" i="0" u="none" baseline="0">
          <a:latin typeface="Arial Tur"/>
          <a:ea typeface="Arial Tur"/>
          <a:cs typeface="Arial Tu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12 - 2005 YILI HAZİNEDEN ALINANLAR (MİLYON $)</a:t>
            </a:r>
          </a:p>
        </c:rich>
      </c:tx>
      <c:layout/>
      <c:spPr>
        <a:noFill/>
        <a:ln>
          <a:noFill/>
        </a:ln>
      </c:spPr>
    </c:title>
    <c:view3D>
      <c:rotX val="15"/>
      <c:hPercent val="100"/>
      <c:rotY val="160"/>
      <c:depthPercent val="100"/>
      <c:rAngAx val="1"/>
    </c:view3D>
    <c:plotArea>
      <c:layout>
        <c:manualLayout>
          <c:xMode val="edge"/>
          <c:yMode val="edge"/>
          <c:x val="0.209"/>
          <c:y val="0.43025"/>
          <c:w val="0.50575"/>
          <c:h val="0.374"/>
        </c:manualLayout>
      </c:layout>
      <c:pie3DChart>
        <c:varyColors val="1"/>
        <c:ser>
          <c:idx val="0"/>
          <c:order val="0"/>
          <c:spPr>
            <a:solidFill>
              <a:srgbClr val="CCFFFF"/>
            </a:solidFill>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333399"/>
              </a:solidFill>
            </c:spPr>
          </c:dPt>
          <c:dLbls>
            <c:dLbl>
              <c:idx val="0"/>
              <c:layout>
                <c:manualLayout>
                  <c:x val="0"/>
                  <c:y val="0"/>
                </c:manualLayout>
              </c:layout>
              <c:txPr>
                <a:bodyPr vert="horz" rot="0"/>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1"/>
          </c:dLbls>
          <c:cat>
            <c:strRef>
              <c:f>'(11)'!$D$20:$E$20</c:f>
              <c:strCache/>
            </c:strRef>
          </c:cat>
          <c:val>
            <c:numRef>
              <c:f>'(11)'!$D$21:$E$21</c:f>
              <c:numCache>
                <c:ptCount val="2"/>
                <c:pt idx="0">
                  <c:v>0</c:v>
                </c:pt>
                <c:pt idx="1">
                  <c:v>0</c:v>
                </c:pt>
              </c:numCache>
            </c:numRef>
          </c:val>
        </c:ser>
        <c:ser>
          <c:idx val="1"/>
          <c:order val="1"/>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'(11)'!$D$22:$E$22</c:f>
              <c:numCache>
                <c:ptCount val="2"/>
                <c:pt idx="0">
                  <c:v>0</c:v>
                </c:pt>
                <c:pt idx="1">
                  <c:v>0</c:v>
                </c:pt>
              </c:numCache>
            </c:numRef>
          </c:val>
        </c:ser>
        <c:ser>
          <c:idx val="2"/>
          <c:order val="2"/>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'(11)'!$D$23:$E$23</c:f>
              <c:numCache>
                <c:ptCount val="2"/>
                <c:pt idx="0">
                  <c:v>0</c:v>
                </c:pt>
                <c:pt idx="1">
                  <c:v>0</c:v>
                </c:pt>
              </c:numCache>
            </c:numRef>
          </c:val>
        </c:ser>
        <c:ser>
          <c:idx val="3"/>
          <c:order val="3"/>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'(11)'!$D$24:$E$24</c:f>
              <c:numCache>
                <c:ptCount val="2"/>
                <c:pt idx="0">
                  <c:v>0</c:v>
                </c:pt>
                <c:pt idx="1">
                  <c:v>0</c:v>
                </c:pt>
              </c:numCache>
            </c:numRef>
          </c:val>
        </c:ser>
        <c:ser>
          <c:idx val="4"/>
          <c:order val="4"/>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'(11)'!$D$25:$E$25</c:f>
              <c:numCache>
                <c:ptCount val="2"/>
                <c:pt idx="0">
                  <c:v>0</c:v>
                </c:pt>
                <c:pt idx="1">
                  <c:v>0</c:v>
                </c:pt>
              </c:numCache>
            </c:numRef>
          </c:val>
        </c:ser>
        <c:ser>
          <c:idx val="5"/>
          <c:order val="5"/>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'(11)'!$D$26:$E$26</c:f>
              <c:numCache>
                <c:ptCount val="2"/>
                <c:pt idx="0">
                  <c:v>0</c:v>
                </c:pt>
                <c:pt idx="1">
                  <c:v>0</c:v>
                </c:pt>
              </c:numCache>
            </c:numRef>
          </c:val>
        </c:ser>
        <c:ser>
          <c:idx val="6"/>
          <c:order val="6"/>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'(11)'!$D$27:$E$27</c:f>
              <c:numCache>
                <c:ptCount val="2"/>
                <c:pt idx="0">
                  <c:v>0</c:v>
                </c:pt>
                <c:pt idx="1">
                  <c:v>0</c:v>
                </c:pt>
              </c:numCache>
            </c:numRef>
          </c:val>
        </c:ser>
        <c:ser>
          <c:idx val="7"/>
          <c:order val="7"/>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'(11)'!$D$28:$E$28</c:f>
              <c:numCache>
                <c:ptCount val="2"/>
                <c:pt idx="0">
                  <c:v>0</c:v>
                </c:pt>
                <c:pt idx="1">
                  <c:v>0</c:v>
                </c:pt>
              </c:numCache>
            </c:numRef>
          </c:val>
        </c:ser>
        <c:ser>
          <c:idx val="8"/>
          <c:order val="8"/>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'(11)'!$D$29:$E$29</c:f>
              <c:numCache>
                <c:ptCount val="2"/>
                <c:pt idx="0">
                  <c:v>0</c:v>
                </c:pt>
                <c:pt idx="1">
                  <c:v>0</c:v>
                </c:pt>
              </c:numCache>
            </c:numRef>
          </c:val>
        </c:ser>
        <c:ser>
          <c:idx val="9"/>
          <c:order val="9"/>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'(11)'!$D$30:$E$30</c:f>
              <c:numCache>
                <c:ptCount val="2"/>
                <c:pt idx="0">
                  <c:v>0</c:v>
                </c:pt>
                <c:pt idx="1">
                  <c:v>0</c:v>
                </c:pt>
              </c:numCache>
            </c:numRef>
          </c:val>
        </c:ser>
        <c:ser>
          <c:idx val="10"/>
          <c:order val="10"/>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'(11)'!$D$31:$E$31</c:f>
              <c:numCache>
                <c:ptCount val="2"/>
                <c:pt idx="0">
                  <c:v>0</c:v>
                </c:pt>
                <c:pt idx="1">
                  <c:v>0</c:v>
                </c:pt>
              </c:numCache>
            </c:numRef>
          </c:val>
        </c:ser>
        <c:ser>
          <c:idx val="11"/>
          <c:order val="11"/>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'(11)'!$D$32:$E$32</c:f>
              <c:numCache>
                <c:ptCount val="2"/>
                <c:pt idx="0">
                  <c:v>0</c:v>
                </c:pt>
                <c:pt idx="1">
                  <c:v>0</c:v>
                </c:pt>
              </c:numCache>
            </c:numRef>
          </c:val>
        </c:ser>
        <c:ser>
          <c:idx val="12"/>
          <c:order val="12"/>
          <c:explosion val="1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'(11)'!$D$20:$E$20</c:f>
              <c:strCache/>
            </c:strRef>
          </c:cat>
          <c:val>
            <c:numRef>
              <c:f>'(11)'!$D$33:$E$33</c:f>
              <c:numCache>
                <c:ptCount val="2"/>
                <c:pt idx="0">
                  <c:v>0</c:v>
                </c:pt>
                <c:pt idx="1">
                  <c:v>0</c:v>
                </c:pt>
              </c:numCache>
            </c:numRef>
          </c:val>
        </c:ser>
        <c:firstSliceAng val="160"/>
      </c:pie3DChart>
      <c:spPr>
        <a:noFill/>
        <a:ln>
          <a:noFill/>
        </a:ln>
      </c:spPr>
    </c:plotArea>
    <c:legend>
      <c:legendPos val="t"/>
      <c:layout>
        <c:manualLayout>
          <c:xMode val="edge"/>
          <c:yMode val="edge"/>
          <c:x val="0.47525"/>
          <c:y val="0.1495"/>
        </c:manualLayout>
      </c:layout>
      <c:overlay val="0"/>
      <c:txPr>
        <a:bodyPr vert="horz" rot="0"/>
        <a:lstStyle/>
        <a:p>
          <a:pPr>
            <a:defRPr lang="en-US" cap="none" sz="800" b="0" i="0" u="none" baseline="0">
              <a:latin typeface="Arial Tur"/>
              <a:ea typeface="Arial Tur"/>
              <a:cs typeface="Arial Tur"/>
            </a:defRPr>
          </a:pPr>
        </a:p>
      </c:txPr>
    </c:legend>
    <c:sideWall>
      <c:thickness val="0"/>
    </c:sideWall>
    <c:backWall>
      <c:thickness val="0"/>
    </c:backWall>
    <c:plotVisOnly val="1"/>
    <c:dispBlanksAs val="gap"/>
    <c:showDLblsOverMax val="0"/>
  </c:chart>
  <c:txPr>
    <a:bodyPr vert="horz" rot="0"/>
    <a:lstStyle/>
    <a:p>
      <a:pPr>
        <a:defRPr lang="en-US" cap="none" sz="875" b="0" i="0" u="none" baseline="0">
          <a:latin typeface="Arial Tur"/>
          <a:ea typeface="Arial Tur"/>
          <a:cs typeface="Arial Tu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13 -2006 YILI HAZİNEDEN ALINANLAR (MİLYAR TL.)</a:t>
            </a:r>
          </a:p>
        </c:rich>
      </c:tx>
      <c:layout>
        <c:manualLayout>
          <c:xMode val="factor"/>
          <c:yMode val="factor"/>
          <c:x val="-0.0165"/>
          <c:y val="-0.0195"/>
        </c:manualLayout>
      </c:layout>
      <c:spPr>
        <a:noFill/>
        <a:ln>
          <a:noFill/>
        </a:ln>
      </c:spPr>
    </c:title>
    <c:view3D>
      <c:rotX val="15"/>
      <c:hPercent val="100"/>
      <c:rotY val="0"/>
      <c:depthPercent val="100"/>
      <c:rAngAx val="1"/>
    </c:view3D>
    <c:plotArea>
      <c:layout>
        <c:manualLayout>
          <c:xMode val="edge"/>
          <c:yMode val="edge"/>
          <c:x val="0.1615"/>
          <c:y val="0.44925"/>
          <c:w val="0.572"/>
          <c:h val="0.37575"/>
        </c:manualLayout>
      </c:layout>
      <c:pie3DChart>
        <c:varyColors val="1"/>
        <c:ser>
          <c:idx val="0"/>
          <c:order val="0"/>
          <c:spPr>
            <a:solidFill>
              <a:srgbClr val="CCFFFF"/>
            </a:solidFill>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0080"/>
              </a:solidFill>
            </c:spPr>
          </c:dP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350" b="1" i="0" u="none" baseline="0">
                      <a:latin typeface="Arial Tur"/>
                      <a:ea typeface="Arial Tur"/>
                      <a:cs typeface="Arial Tu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350" b="1" i="0" u="none" baseline="0">
                      <a:latin typeface="Arial Tur"/>
                      <a:ea typeface="Arial Tur"/>
                      <a:cs typeface="Arial Tu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1"/>
          </c:dLbls>
          <c:cat>
            <c:strRef>
              <c:f>'(12)'!$D$4:$E$4</c:f>
              <c:strCache/>
            </c:strRef>
          </c:cat>
          <c:val>
            <c:numRef>
              <c:f>'(12)'!$D$17:$E$17</c:f>
              <c:numCache>
                <c:ptCount val="2"/>
                <c:pt idx="0">
                  <c:v>0</c:v>
                </c:pt>
                <c:pt idx="1">
                  <c:v>0</c:v>
                </c:pt>
              </c:numCache>
            </c:numRef>
          </c:val>
        </c:ser>
      </c:pie3DChart>
      <c:spPr>
        <a:noFill/>
        <a:ln>
          <a:noFill/>
        </a:ln>
      </c:spPr>
    </c:plotArea>
    <c:legend>
      <c:legendPos val="t"/>
      <c:layout>
        <c:manualLayout>
          <c:xMode val="edge"/>
          <c:yMode val="edge"/>
          <c:x val="0.733"/>
          <c:y val="0.21"/>
        </c:manualLayout>
      </c:layout>
      <c:overlay val="0"/>
      <c:txPr>
        <a:bodyPr vert="horz" rot="0"/>
        <a:lstStyle/>
        <a:p>
          <a:pPr>
            <a:defRPr lang="en-US" cap="none" sz="800" b="0" i="0" u="none" baseline="0">
              <a:latin typeface="Arial Tur"/>
              <a:ea typeface="Arial Tur"/>
              <a:cs typeface="Arial Tur"/>
            </a:defRPr>
          </a:pPr>
        </a:p>
      </c:txPr>
    </c:legend>
    <c:sideWall>
      <c:thickness val="0"/>
    </c:sideWall>
    <c:backWall>
      <c:thickness val="0"/>
    </c:backWall>
    <c:plotVisOnly val="1"/>
    <c:dispBlanksAs val="gap"/>
    <c:showDLblsOverMax val="0"/>
  </c:chart>
  <c:txPr>
    <a:bodyPr vert="horz" rot="0"/>
    <a:lstStyle/>
    <a:p>
      <a:pPr>
        <a:defRPr lang="en-US" cap="none" sz="875" b="0" i="0" u="none" baseline="0">
          <a:latin typeface="Arial Tur"/>
          <a:ea typeface="Arial Tur"/>
          <a:cs typeface="Arial Tur"/>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14 - 2006 YILI HAZİNEDEN ALINANLAR (MİLYON $)</a:t>
            </a:r>
          </a:p>
        </c:rich>
      </c:tx>
      <c:layout/>
      <c:spPr>
        <a:noFill/>
        <a:ln>
          <a:noFill/>
        </a:ln>
      </c:spPr>
    </c:title>
    <c:view3D>
      <c:rotX val="15"/>
      <c:hPercent val="100"/>
      <c:rotY val="160"/>
      <c:depthPercent val="100"/>
      <c:rAngAx val="1"/>
    </c:view3D>
    <c:plotArea>
      <c:layout>
        <c:manualLayout>
          <c:xMode val="edge"/>
          <c:yMode val="edge"/>
          <c:x val="0.209"/>
          <c:y val="0.43025"/>
          <c:w val="0.50575"/>
          <c:h val="0.374"/>
        </c:manualLayout>
      </c:layout>
      <c:pie3DChart>
        <c:varyColors val="1"/>
        <c:ser>
          <c:idx val="0"/>
          <c:order val="0"/>
          <c:spPr>
            <a:solidFill>
              <a:srgbClr val="CCFFFF"/>
            </a:solidFill>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333399"/>
              </a:solidFill>
            </c:spPr>
          </c:dPt>
          <c:dLbls>
            <c:dLbl>
              <c:idx val="0"/>
              <c:layout>
                <c:manualLayout>
                  <c:x val="0"/>
                  <c:y val="0"/>
                </c:manualLayout>
              </c:layout>
              <c:txPr>
                <a:bodyPr vert="horz" rot="0"/>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50" b="1" i="0" u="none" baseline="0">
                      <a:latin typeface="Arial Tur"/>
                      <a:ea typeface="Arial Tur"/>
                      <a:cs typeface="Arial Tu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1"/>
          </c:dLbls>
          <c:cat>
            <c:strRef>
              <c:f>'(12)'!$D$20:$E$20</c:f>
              <c:strCache/>
            </c:strRef>
          </c:cat>
          <c:val>
            <c:numRef>
              <c:f>'(12)'!$D$33:$E$33</c:f>
              <c:numCache>
                <c:ptCount val="2"/>
                <c:pt idx="0">
                  <c:v>0</c:v>
                </c:pt>
                <c:pt idx="1">
                  <c:v>0</c:v>
                </c:pt>
              </c:numCache>
            </c:numRef>
          </c:val>
        </c:ser>
        <c:firstSliceAng val="160"/>
      </c:pie3DChart>
      <c:spPr>
        <a:noFill/>
        <a:ln>
          <a:noFill/>
        </a:ln>
      </c:spPr>
    </c:plotArea>
    <c:legend>
      <c:legendPos val="t"/>
      <c:layout>
        <c:manualLayout>
          <c:xMode val="edge"/>
          <c:yMode val="edge"/>
          <c:x val="0.47525"/>
          <c:y val="0.1495"/>
        </c:manualLayout>
      </c:layout>
      <c:overlay val="0"/>
      <c:txPr>
        <a:bodyPr vert="horz" rot="0"/>
        <a:lstStyle/>
        <a:p>
          <a:pPr>
            <a:defRPr lang="en-US" cap="none" sz="800" b="0" i="0" u="none" baseline="0">
              <a:latin typeface="Arial Tur"/>
              <a:ea typeface="Arial Tur"/>
              <a:cs typeface="Arial Tur"/>
            </a:defRPr>
          </a:pPr>
        </a:p>
      </c:txPr>
    </c:legend>
    <c:sideWall>
      <c:thickness val="0"/>
    </c:sideWall>
    <c:backWall>
      <c:thickness val="0"/>
    </c:backWall>
    <c:plotVisOnly val="1"/>
    <c:dispBlanksAs val="gap"/>
    <c:showDLblsOverMax val="0"/>
  </c:chart>
  <c:txPr>
    <a:bodyPr vert="horz" rot="0"/>
    <a:lstStyle/>
    <a:p>
      <a:pPr>
        <a:defRPr lang="en-US" cap="none" sz="875" b="0" i="0" u="none" baseline="0">
          <a:latin typeface="Arial Tur"/>
          <a:ea typeface="Arial Tur"/>
          <a:cs typeface="Arial Tur"/>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Grafik 16-SOSYAL SİGORTALAR KURUMU YILLAR İTİBARİYLE AKTİF PASİF ORANI</a:t>
            </a:r>
          </a:p>
        </c:rich>
      </c:tx>
      <c:layout/>
      <c:spPr>
        <a:noFill/>
        <a:ln>
          <a:noFill/>
        </a:ln>
      </c:spPr>
    </c:title>
    <c:plotArea>
      <c:layout>
        <c:manualLayout>
          <c:xMode val="edge"/>
          <c:yMode val="edge"/>
          <c:x val="0.02675"/>
          <c:y val="0.0545"/>
          <c:w val="0.972"/>
          <c:h val="0.9455"/>
        </c:manualLayout>
      </c:layout>
      <c:lineChart>
        <c:grouping val="standard"/>
        <c:varyColors val="0"/>
        <c:ser>
          <c:idx val="0"/>
          <c:order val="0"/>
          <c:tx>
            <c:strRef>
              <c:f>'(13)'!$B$13:$B$14</c:f>
              <c:strCache>
                <c:ptCount val="1"/>
                <c:pt idx="0">
                  <c:v>Aktif Pasif Oranı (*) Oran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0"/>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1"/>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2"/>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3"/>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4"/>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5"/>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8"/>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9"/>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10"/>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dLbl>
              <c:idx val="11"/>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numFmt formatCode="General" sourceLinked="1"/>
            <c:txPr>
              <a:bodyPr vert="horz" rot="-2700000" anchor="ctr"/>
              <a:lstStyle/>
              <a:p>
                <a:pPr algn="ctr">
                  <a:defRPr lang="en-US" cap="none" sz="800" b="0" i="0" u="none" baseline="0"/>
                </a:pPr>
              </a:p>
            </c:txPr>
            <c:showLegendKey val="0"/>
            <c:showVal val="1"/>
            <c:showBubbleSize val="0"/>
            <c:showCatName val="0"/>
            <c:showSerName val="0"/>
            <c:showLeaderLines val="1"/>
            <c:showPercent val="0"/>
          </c:dLbls>
          <c:cat>
            <c:numRef>
              <c:f>'(13)'!$A$15:$A$28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'(13)'!$B$15:$B$28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35654602"/>
        <c:axId val="52455963"/>
      </c:lineChart>
      <c:catAx>
        <c:axId val="35654602"/>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pPr>
          </a:p>
        </c:txPr>
        <c:crossAx val="52455963"/>
        <c:crosses val="autoZero"/>
        <c:auto val="1"/>
        <c:lblOffset val="100"/>
        <c:noMultiLvlLbl val="0"/>
      </c:catAx>
      <c:valAx>
        <c:axId val="52455963"/>
        <c:scaling>
          <c:orientation val="minMax"/>
        </c:scaling>
        <c:axPos val="l"/>
        <c:title>
          <c:tx>
            <c:rich>
              <a:bodyPr vert="horz" rot="-5400000" anchor="ctr"/>
              <a:lstStyle/>
              <a:p>
                <a:pPr algn="ctr">
                  <a:defRPr/>
                </a:pPr>
                <a:r>
                  <a:rPr lang="en-US" cap="none" sz="800" b="1" i="0" u="none" baseline="0"/>
                  <a:t>ORAN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5654602"/>
        <c:crossesAt val="1"/>
        <c:crossBetween val="between"/>
        <c:dispUnits/>
      </c:valAx>
      <c:spPr>
        <a:solidFill>
          <a:srgbClr val="C0C0C0"/>
        </a:solidFill>
      </c:spPr>
    </c:plotArea>
    <c:plotVisOnly val="1"/>
    <c:dispBlanksAs val="gap"/>
    <c:showDLblsOverMax val="0"/>
  </c:chart>
  <c:spPr>
    <a:ln w="12700">
      <a:solid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Tur"/>
                <a:ea typeface="Arial Tur"/>
                <a:cs typeface="Arial Tur"/>
              </a:rPr>
              <a:t>GRAFİK 16 - Kurumumuzdan Aylık ve Gelir alanların Sayısı 
2004</a:t>
            </a:r>
          </a:p>
        </c:rich>
      </c:tx>
      <c:layout>
        <c:manualLayout>
          <c:xMode val="factor"/>
          <c:yMode val="factor"/>
          <c:x val="-0.04625"/>
          <c:y val="0.009"/>
        </c:manualLayout>
      </c:layout>
      <c:spPr>
        <a:noFill/>
        <a:ln>
          <a:noFill/>
        </a:ln>
      </c:spPr>
    </c:title>
    <c:view3D>
      <c:rotX val="15"/>
      <c:hPercent val="100"/>
      <c:rotY val="180"/>
      <c:depthPercent val="100"/>
      <c:rAngAx val="1"/>
    </c:view3D>
    <c:plotArea>
      <c:layout>
        <c:manualLayout>
          <c:xMode val="edge"/>
          <c:yMode val="edge"/>
          <c:x val="0.269"/>
          <c:y val="0.3415"/>
          <c:w val="0.46225"/>
          <c:h val="0.43475"/>
        </c:manualLayout>
      </c:layout>
      <c:pie3DChart>
        <c:varyColors val="1"/>
        <c:ser>
          <c:idx val="0"/>
          <c:order val="0"/>
          <c:tx>
            <c:strRef>
              <c:f>'(17)'!$A$5</c:f>
              <c:strCache>
                <c:ptCount val="1"/>
                <c:pt idx="0">
                  <c:v>Malullük Aylığı Al.</c:v>
                </c:pt>
              </c:strCache>
            </c:strRef>
          </c:tx>
          <c:explosion val="33"/>
          <c:extLst>
            <c:ext xmlns:c14="http://schemas.microsoft.com/office/drawing/2007/8/2/chart" uri="{6F2FDCE9-48DA-4B69-8628-5D25D57E5C99}">
              <c14:invertSolidFillFmt>
                <c14:spPr>
                  <a:solidFill>
                    <a:srgbClr val="000000"/>
                  </a:solidFill>
                </c14:spPr>
              </c14:invertSolidFillFmt>
            </c:ext>
          </c:extLst>
          <c:dPt>
            <c:idx val="1"/>
          </c:dPt>
          <c:dPt>
            <c:idx val="2"/>
          </c:dPt>
          <c:dPt>
            <c:idx val="4"/>
          </c:dP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0"/>
          </c:dLbls>
          <c:cat>
            <c:strRef>
              <c:f>'(17)'!$A$5:$A$10</c:f>
              <c:strCache/>
            </c:strRef>
          </c:cat>
          <c:val>
            <c:numRef>
              <c:f>'(17)'!$H$5:$H$10</c:f>
              <c:numCache>
                <c:ptCount val="6"/>
                <c:pt idx="0">
                  <c:v>0</c:v>
                </c:pt>
                <c:pt idx="1">
                  <c:v>0</c:v>
                </c:pt>
                <c:pt idx="2">
                  <c:v>0</c:v>
                </c:pt>
                <c:pt idx="3">
                  <c:v>0</c:v>
                </c:pt>
                <c:pt idx="4">
                  <c:v>0</c:v>
                </c:pt>
                <c:pt idx="5">
                  <c:v>0</c:v>
                </c:pt>
              </c:numCache>
            </c:numRef>
          </c:val>
        </c:ser>
        <c:ser>
          <c:idx val="1"/>
          <c:order val="1"/>
          <c:tx>
            <c:strRef>
              <c:f>'(17)'!$A$6</c:f>
              <c:strCache>
                <c:ptCount val="1"/>
                <c:pt idx="0">
                  <c:v>Yaşlılık Aylığı Al.</c:v>
                </c:pt>
              </c:strCache>
            </c:strRef>
          </c:tx>
          <c:explosion val="33"/>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'(17)'!$A$5:$A$10</c:f>
              <c:strCache/>
            </c:strRef>
          </c:cat>
          <c:val>
            <c:numLit>
              <c:ptCount val="1"/>
              <c:pt idx="0">
                <c:v>1</c:v>
              </c:pt>
            </c:numLit>
          </c:val>
        </c:ser>
        <c:ser>
          <c:idx val="2"/>
          <c:order val="2"/>
          <c:tx>
            <c:strRef>
              <c:f>'(17)'!$A$7</c:f>
              <c:strCache>
                <c:ptCount val="1"/>
                <c:pt idx="0">
                  <c:v>Ölüm Aylığı Alanlar</c:v>
                </c:pt>
              </c:strCache>
            </c:strRef>
          </c:tx>
          <c:explosion val="33"/>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'(17)'!$A$5:$A$10</c:f>
              <c:strCache/>
            </c:strRef>
          </c:cat>
          <c:val>
            <c:numLit>
              <c:ptCount val="1"/>
              <c:pt idx="0">
                <c:v>1</c:v>
              </c:pt>
            </c:numLit>
          </c:val>
        </c:ser>
        <c:ser>
          <c:idx val="3"/>
          <c:order val="3"/>
          <c:tx>
            <c:strRef>
              <c:f>'(17)'!$A$8</c:f>
              <c:strCache>
                <c:ptCount val="1"/>
                <c:pt idx="0">
                  <c:v>Sürekli İşgör.Geliri Al.</c:v>
                </c:pt>
              </c:strCache>
            </c:strRef>
          </c:tx>
          <c:explosion val="33"/>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'(17)'!$A$5:$A$10</c:f>
              <c:strCache/>
            </c:strRef>
          </c:cat>
          <c:val>
            <c:numLit>
              <c:ptCount val="1"/>
              <c:pt idx="0">
                <c:v>1</c:v>
              </c:pt>
            </c:numLit>
          </c:val>
        </c:ser>
        <c:ser>
          <c:idx val="4"/>
          <c:order val="4"/>
          <c:tx>
            <c:strRef>
              <c:f>'(17)'!$A$9</c:f>
              <c:strCache>
                <c:ptCount val="1"/>
                <c:pt idx="0">
                  <c:v>İşkazası ve Mes. Hast. Sonucu Ölüm Haksahipleri</c:v>
                </c:pt>
              </c:strCache>
            </c:strRef>
          </c:tx>
          <c:explosion val="33"/>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'(17)'!$A$5:$A$10</c:f>
              <c:strCache/>
            </c:strRef>
          </c:cat>
          <c:val>
            <c:numLit>
              <c:ptCount val="1"/>
              <c:pt idx="0">
                <c:v>1</c:v>
              </c:pt>
            </c:numLit>
          </c:val>
        </c:ser>
        <c:ser>
          <c:idx val="5"/>
          <c:order val="5"/>
          <c:tx>
            <c:strRef>
              <c:f>'(17)'!$A$10</c:f>
              <c:strCache>
                <c:ptCount val="1"/>
                <c:pt idx="0">
                  <c:v>TOPLAM</c:v>
                </c:pt>
              </c:strCache>
            </c:strRef>
          </c:tx>
          <c:explosion val="33"/>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cat>
            <c:strRef>
              <c:f>'(17)'!$A$5:$A$10</c:f>
              <c:strCache/>
            </c:strRef>
          </c:cat>
          <c:val>
            <c:numLit>
              <c:ptCount val="1"/>
              <c:pt idx="0">
                <c:v>1</c:v>
              </c:pt>
            </c:numLit>
          </c:val>
        </c:ser>
        <c:firstSliceAng val="180"/>
      </c:pie3DChart>
      <c:spPr>
        <a:noFill/>
        <a:ln>
          <a:noFill/>
        </a:ln>
      </c:spPr>
    </c:plotArea>
    <c:sideWall>
      <c:thickness val="0"/>
    </c:sideWall>
    <c:backWall>
      <c:thickness val="0"/>
    </c:backWall>
    <c:plotVisOnly val="1"/>
    <c:dispBlanksAs val="gap"/>
    <c:showDLblsOverMax val="0"/>
  </c:chart>
  <c:spPr>
    <a:ln w="12700">
      <a:solidFill/>
    </a:ln>
  </c:spPr>
  <c:txPr>
    <a:bodyPr vert="horz" rot="0"/>
    <a:lstStyle/>
    <a:p>
      <a:pPr>
        <a:defRPr lang="en-US" cap="none" sz="1000" b="0" i="0" u="none" baseline="0">
          <a:latin typeface="Arial Tur"/>
          <a:ea typeface="Arial Tur"/>
          <a:cs typeface="Arial Tur"/>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Tur"/>
                <a:ea typeface="Arial Tur"/>
                <a:cs typeface="Arial Tur"/>
              </a:rPr>
              <a:t>GRAFİK 17 - Kurumumuzdan Aylık ve Gelir alanların Sayısı
 2005 Yılı
</a:t>
            </a:r>
          </a:p>
        </c:rich>
      </c:tx>
      <c:layout/>
      <c:spPr>
        <a:noFill/>
        <a:ln>
          <a:noFill/>
        </a:ln>
      </c:spPr>
    </c:title>
    <c:view3D>
      <c:rotX val="15"/>
      <c:hPercent val="100"/>
      <c:rotY val="160"/>
      <c:depthPercent val="100"/>
      <c:rAngAx val="1"/>
    </c:view3D>
    <c:plotArea>
      <c:layout>
        <c:manualLayout>
          <c:xMode val="edge"/>
          <c:yMode val="edge"/>
          <c:x val="0.166"/>
          <c:y val="0.272"/>
          <c:w val="0.6195"/>
          <c:h val="0.48325"/>
        </c:manualLayout>
      </c:layout>
      <c:pie3DChart>
        <c:varyColors val="1"/>
        <c:ser>
          <c:idx val="0"/>
          <c:order val="0"/>
          <c:explosion val="24"/>
          <c:extLst>
            <c:ext xmlns:c14="http://schemas.microsoft.com/office/drawing/2007/8/2/chart" uri="{6F2FDCE9-48DA-4B69-8628-5D25D57E5C99}">
              <c14:invertSolidFillFmt>
                <c14:spPr>
                  <a:solidFill>
                    <a:srgbClr val="000000"/>
                  </a:solidFill>
                </c14:spPr>
              </c14:invertSolidFillFmt>
            </c:ext>
          </c:extLst>
          <c:dPt>
            <c:idx val="1"/>
            <c:explosion val="25"/>
          </c:dPt>
          <c:dPt>
            <c:idx val="5"/>
            <c:explosion val="22"/>
          </c:dP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pPr>
                <a:noFill/>
                <a:ln>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pPr>
                <a:noFill/>
                <a:ln>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pPr>
                <a:noFill/>
                <a:ln>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pPr>
                <a:noFill/>
                <a:ln>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800" b="1" i="0" u="none" baseline="0">
                    <a:latin typeface="Arial Tur"/>
                    <a:ea typeface="Arial Tur"/>
                    <a:cs typeface="Arial Tur"/>
                  </a:defRPr>
                </a:pPr>
              </a:p>
            </c:txPr>
            <c:showLegendKey val="0"/>
            <c:showVal val="0"/>
            <c:showBubbleSize val="0"/>
            <c:showCatName val="1"/>
            <c:showSerName val="0"/>
            <c:showLeaderLines val="1"/>
            <c:showPercent val="0"/>
          </c:dLbls>
          <c:cat>
            <c:strRef>
              <c:f>'(17)'!$A$31:$A$36</c:f>
              <c:strCache/>
            </c:strRef>
          </c:cat>
          <c:val>
            <c:numRef>
              <c:f>'(17)'!$H$31:$H$36</c:f>
              <c:numCache>
                <c:ptCount val="6"/>
                <c:pt idx="0">
                  <c:v>0</c:v>
                </c:pt>
                <c:pt idx="1">
                  <c:v>0</c:v>
                </c:pt>
                <c:pt idx="2">
                  <c:v>0</c:v>
                </c:pt>
                <c:pt idx="3">
                  <c:v>0</c:v>
                </c:pt>
                <c:pt idx="4">
                  <c:v>0</c:v>
                </c:pt>
                <c:pt idx="5">
                  <c:v>0</c:v>
                </c:pt>
              </c:numCache>
            </c:numRef>
          </c:val>
        </c:ser>
        <c:firstSliceAng val="160"/>
      </c:pie3DChart>
      <c:spPr>
        <a:noFill/>
        <a:ln>
          <a:noFill/>
        </a:ln>
      </c:spPr>
    </c:plotArea>
    <c:sideWall>
      <c:thickness val="0"/>
    </c:sideWall>
    <c:backWall>
      <c:thickness val="0"/>
    </c:backWall>
    <c:plotVisOnly val="1"/>
    <c:dispBlanksAs val="gap"/>
    <c:showDLblsOverMax val="0"/>
  </c:chart>
  <c:spPr>
    <a:ln w="12700">
      <a:solidFill/>
    </a:ln>
  </c:spPr>
  <c:txPr>
    <a:bodyPr vert="horz" rot="0"/>
    <a:lstStyle/>
    <a:p>
      <a:pPr>
        <a:defRPr lang="en-US" cap="none" sz="975" b="0" i="0" u="none" baseline="0">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Tur"/>
                <a:ea typeface="Arial Tur"/>
                <a:cs typeface="Arial Tur"/>
              </a:rPr>
              <a:t>GRAFİK 2 - TAŞRA TEŞKİLATI KADROLU MEMUR DURUMU</a:t>
            </a:r>
          </a:p>
        </c:rich>
      </c:tx>
      <c:layout/>
      <c:spPr>
        <a:solidFill>
          <a:srgbClr val="FFFFFF"/>
        </a:solidFill>
        <a:ln w="3175">
          <a:noFill/>
        </a:ln>
      </c:spPr>
    </c:title>
    <c:view3D>
      <c:rotX val="15"/>
      <c:rotY val="20"/>
      <c:depthPercent val="100"/>
      <c:rAngAx val="1"/>
    </c:view3D>
    <c:plotArea>
      <c:layout/>
      <c:bar3DChart>
        <c:barDir val="col"/>
        <c:grouping val="clustered"/>
        <c:varyColors val="0"/>
        <c:ser>
          <c:idx val="0"/>
          <c:order val="0"/>
          <c:tx>
            <c:strRef>
              <c:f>'(3)'!#REF!</c:f>
              <c:strCache>
                <c:ptCount val="1"/>
                <c:pt idx="0">
                  <c:v>#BAŞV!</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250" b="1"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50" b="1"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50" b="1"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numFmt formatCode="General" sourceLinked="1"/>
            <c:spPr>
              <a:solidFill>
                <a:srgbClr val="FFFFCC"/>
              </a:solidFill>
              <a:ln w="3175">
                <a:noFill/>
              </a:ln>
            </c:spPr>
            <c:txPr>
              <a:bodyPr vert="horz" rot="0" anchor="ctr"/>
              <a:lstStyle/>
              <a:p>
                <a:pPr algn="ctr">
                  <a:defRPr lang="en-US" cap="none" sz="250" b="1" i="0" u="none" baseline="0">
                    <a:latin typeface="Arial Tur"/>
                    <a:ea typeface="Arial Tur"/>
                    <a:cs typeface="Arial Tur"/>
                  </a:defRPr>
                </a:pPr>
              </a:p>
            </c:txPr>
            <c:showLegendKey val="0"/>
            <c:showVal val="1"/>
            <c:showBubbleSize val="0"/>
            <c:showCatName val="0"/>
            <c:showSerName val="0"/>
            <c:showPercent val="0"/>
          </c:dLbls>
          <c:cat>
            <c:strRef>
              <c:f>'(3)'!#REF!</c:f>
              <c:strCache>
                <c:ptCount val="1"/>
                <c:pt idx="0">
                  <c:v>1</c:v>
                </c:pt>
              </c:strCache>
            </c:strRef>
          </c:cat>
          <c:val>
            <c:numRef>
              <c:f>'(3)'!#REF!</c:f>
              <c:numCache>
                <c:ptCount val="1"/>
                <c:pt idx="0">
                  <c:v>1</c:v>
                </c:pt>
              </c:numCache>
            </c:numRef>
          </c:val>
          <c:shape val="box"/>
        </c:ser>
        <c:ser>
          <c:idx val="1"/>
          <c:order val="1"/>
          <c:tx>
            <c:strRef>
              <c:f>'(3)'!#REF!</c:f>
              <c:strCache>
                <c:ptCount val="1"/>
                <c:pt idx="0">
                  <c:v>#BAŞV!</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'(3)'!#REF!</c:f>
              <c:strCache>
                <c:ptCount val="1"/>
                <c:pt idx="0">
                  <c:v>1</c:v>
                </c:pt>
              </c:strCache>
            </c:strRef>
          </c:cat>
          <c:val>
            <c:numRef>
              <c:f>'(3)'!#REF!</c:f>
              <c:numCache>
                <c:ptCount val="1"/>
                <c:pt idx="0">
                  <c:v>1</c:v>
                </c:pt>
              </c:numCache>
            </c:numRef>
          </c:val>
          <c:shape val="box"/>
        </c:ser>
        <c:shape val="box"/>
        <c:axId val="3555312"/>
        <c:axId val="31997809"/>
      </c:bar3DChart>
      <c:catAx>
        <c:axId val="3555312"/>
        <c:scaling>
          <c:orientation val="minMax"/>
        </c:scaling>
        <c:axPos val="b"/>
        <c:delete val="0"/>
        <c:numFmt formatCode="General" sourceLinked="1"/>
        <c:majorTickMark val="out"/>
        <c:minorTickMark val="none"/>
        <c:tickLblPos val="low"/>
        <c:txPr>
          <a:bodyPr/>
          <a:lstStyle/>
          <a:p>
            <a:pPr>
              <a:defRPr lang="en-US" cap="none" sz="225" b="0" i="0" u="none" baseline="0">
                <a:latin typeface="Arial Tur"/>
                <a:ea typeface="Arial Tur"/>
                <a:cs typeface="Arial Tur"/>
              </a:defRPr>
            </a:pPr>
          </a:p>
        </c:txPr>
        <c:crossAx val="31997809"/>
        <c:crosses val="autoZero"/>
        <c:auto val="1"/>
        <c:lblOffset val="100"/>
        <c:noMultiLvlLbl val="0"/>
      </c:catAx>
      <c:valAx>
        <c:axId val="31997809"/>
        <c:scaling>
          <c:orientation val="minMax"/>
        </c:scaling>
        <c:axPos val="l"/>
        <c:majorGridlines/>
        <c:delete val="0"/>
        <c:numFmt formatCode="General" sourceLinked="1"/>
        <c:majorTickMark val="out"/>
        <c:minorTickMark val="none"/>
        <c:tickLblPos val="nextTo"/>
        <c:crossAx val="3555312"/>
        <c:crossesAt val="1"/>
        <c:crossBetween val="between"/>
        <c:dispUnits/>
      </c:valAx>
      <c:spPr>
        <a:noFill/>
        <a:ln>
          <a:noFill/>
        </a:ln>
      </c:spPr>
    </c:plotArea>
    <c:floor>
      <c:spPr>
        <a:solidFill>
          <a:srgbClr val="CCFFFF"/>
        </a:solidFill>
        <a:ln w="3175">
          <a:solidFill/>
        </a:ln>
      </c:spPr>
      <c:thickness val="0"/>
    </c:floor>
    <c:sideWall>
      <c:spPr>
        <a:gradFill rotWithShape="1">
          <a:gsLst>
            <a:gs pos="0">
              <a:srgbClr val="FFFFFF"/>
            </a:gs>
            <a:gs pos="100000">
              <a:srgbClr val="757575"/>
            </a:gs>
          </a:gsLst>
          <a:path path="rect">
            <a:fillToRect l="50000" t="50000" r="50000" b="50000"/>
          </a:path>
        </a:gradFill>
        <a:ln w="12700">
          <a:solidFill>
            <a:srgbClr val="808080"/>
          </a:solidFill>
        </a:ln>
      </c:spPr>
      <c:thickness val="0"/>
    </c:sideWall>
    <c:backWall>
      <c:spPr>
        <a:gradFill rotWithShape="1">
          <a:gsLst>
            <a:gs pos="0">
              <a:srgbClr val="FFFFFF"/>
            </a:gs>
            <a:gs pos="100000">
              <a:srgbClr val="757575"/>
            </a:gs>
          </a:gsLst>
          <a:path path="rect">
            <a:fillToRect l="50000" t="50000" r="50000" b="50000"/>
          </a:path>
        </a:gradFill>
        <a:ln w="12700">
          <a:solidFill>
            <a:srgbClr val="808080"/>
          </a:solidFill>
        </a:ln>
      </c:spPr>
      <c:thickness val="0"/>
    </c:backWall>
    <c:plotVisOnly val="1"/>
    <c:dispBlanksAs val="gap"/>
    <c:showDLblsOverMax val="0"/>
  </c:chart>
  <c:spPr>
    <a:solidFill>
      <a:srgbClr val="FFFFFF"/>
    </a:solidFill>
  </c:spPr>
  <c:txPr>
    <a:bodyPr vert="horz" rot="0"/>
    <a:lstStyle/>
    <a:p>
      <a:pPr>
        <a:defRPr lang="en-US" cap="none" sz="250" b="0" i="0" u="none" baseline="0">
          <a:latin typeface="Arial Tur"/>
          <a:ea typeface="Arial Tur"/>
          <a:cs typeface="Arial Tur"/>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Tur"/>
                <a:ea typeface="Arial Tur"/>
                <a:cs typeface="Arial Tur"/>
              </a:rPr>
              <a:t>GRAFİK 18 -  Emekli Aylık Seviyeleri (TL.) (SYZ Dahil)
</a:t>
            </a:r>
          </a:p>
        </c:rich>
      </c:tx>
      <c:layout>
        <c:manualLayout>
          <c:xMode val="factor"/>
          <c:yMode val="factor"/>
          <c:x val="-0.015"/>
          <c:y val="-0.0195"/>
        </c:manualLayout>
      </c:layout>
      <c:spPr>
        <a:noFill/>
        <a:ln>
          <a:noFill/>
        </a:ln>
      </c:spPr>
    </c:title>
    <c:plotArea>
      <c:layout>
        <c:manualLayout>
          <c:xMode val="edge"/>
          <c:yMode val="edge"/>
          <c:x val="0"/>
          <c:y val="0.06075"/>
          <c:w val="0.9595"/>
          <c:h val="0.86575"/>
        </c:manualLayout>
      </c:layout>
      <c:barChart>
        <c:barDir val="col"/>
        <c:grouping val="clustered"/>
        <c:varyColors val="0"/>
        <c:ser>
          <c:idx val="0"/>
          <c:order val="0"/>
          <c:tx>
            <c:strRef>
              <c:f>'(18)'!$B$4</c:f>
              <c:strCache>
                <c:ptCount val="1"/>
                <c:pt idx="0">
                  <c:v>ASGARİ AYLIK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('(18)'!$A$5:$A$6,'(18)'!$A$8:$A$9,'(18)'!$A$11:$A$22,'(18)'!$A$26:$A$59,'(18)'!$A$61:$A$62,'(18)'!$A$64:$A$65,'(18)'!$A$67)</c:f>
              <c:strCache/>
            </c:strRef>
          </c:cat>
          <c:val>
            <c:numRef>
              <c:f>('(18)'!$B$5:$B$6,'(18)'!$B$8:$B$9,'(18)'!$B$11:$B$22,'(18)'!$B$26:$B$59,'(18)'!$B$61:$B$62,'(18)'!$B$64:$B$65,'(18)'!$B$67)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'(18)'!$C$4</c:f>
              <c:strCache>
                <c:ptCount val="1"/>
                <c:pt idx="0">
                  <c:v>AZAMİ AYLIK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('(18)'!$A$5:$A$6,'(18)'!$A$8:$A$9,'(18)'!$A$11:$A$22,'(18)'!$A$26:$A$59,'(18)'!$A$61:$A$62,'(18)'!$A$64:$A$65,'(18)'!$A$67)</c:f>
              <c:strCache/>
            </c:strRef>
          </c:cat>
          <c:val>
            <c:numRef>
              <c:f>('(18)'!$C$5:$C$6,'(18)'!$C$8:$C$9,'(18)'!$C$11:$C$22,'(18)'!$C$26:$C$59,'(18)'!$C$61:$C$62,'(18)'!$C$64:$C$65,'(18)'!$C$67)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341620"/>
        <c:axId val="21074581"/>
      </c:barChart>
      <c:catAx>
        <c:axId val="2341620"/>
        <c:scaling>
          <c:orientation val="minMax"/>
        </c:scaling>
        <c:axPos val="b"/>
        <c:delete val="0"/>
        <c:numFmt formatCode="General" sourceLinked="1"/>
        <c:majorTickMark val="out"/>
        <c:minorTickMark val="none"/>
        <c:tickLblPos val="nextTo"/>
        <c:spPr>
          <a:ln w="3175">
            <a:solidFill/>
          </a:ln>
        </c:spPr>
        <c:txPr>
          <a:bodyPr vert="horz" rot="-2700000"/>
          <a:lstStyle/>
          <a:p>
            <a:pPr>
              <a:defRPr lang="en-US" cap="none" sz="800" b="1" i="0" u="none" baseline="0">
                <a:latin typeface="Arial Tur"/>
                <a:ea typeface="Arial Tur"/>
                <a:cs typeface="Arial Tur"/>
              </a:defRPr>
            </a:pPr>
          </a:p>
        </c:txPr>
        <c:crossAx val="21074581"/>
        <c:crosses val="autoZero"/>
        <c:auto val="0"/>
        <c:lblOffset val="100"/>
        <c:noMultiLvlLbl val="0"/>
      </c:catAx>
      <c:valAx>
        <c:axId val="21074581"/>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Tur"/>
                <a:ea typeface="Arial Tur"/>
                <a:cs typeface="Arial Tur"/>
              </a:defRPr>
            </a:pPr>
          </a:p>
        </c:txPr>
        <c:crossAx val="2341620"/>
        <c:crossesAt val="1"/>
        <c:crossBetween val="between"/>
        <c:dispUnits/>
        <c:majorUnit val="100000000"/>
        <c:minorUnit val="15000000"/>
      </c:valAx>
      <c:spPr>
        <a:solidFill>
          <a:srgbClr val="C0C0C0"/>
        </a:solidFill>
        <a:ln w="12700">
          <a:solidFill>
            <a:srgbClr val="808080"/>
          </a:solidFill>
        </a:ln>
      </c:spPr>
    </c:plotArea>
    <c:legend>
      <c:legendPos val="b"/>
      <c:layout>
        <c:manualLayout>
          <c:xMode val="edge"/>
          <c:yMode val="edge"/>
          <c:x val="0"/>
          <c:y val="0.9365"/>
          <c:w val="0.9255"/>
          <c:h val="0.05475"/>
        </c:manualLayout>
      </c:layout>
      <c:overlay val="0"/>
      <c:txPr>
        <a:bodyPr vert="horz" rot="0"/>
        <a:lstStyle/>
        <a:p>
          <a:pPr>
            <a:defRPr lang="en-US" cap="none" sz="800" b="1" i="0" u="none" baseline="0">
              <a:latin typeface="Arial Tur"/>
              <a:ea typeface="Arial Tur"/>
              <a:cs typeface="Arial Tur"/>
            </a:defRPr>
          </a:pPr>
        </a:p>
      </c:txPr>
    </c:legend>
    <c:plotVisOnly val="1"/>
    <c:dispBlanksAs val="gap"/>
    <c:showDLblsOverMax val="0"/>
  </c:chart>
  <c:spPr>
    <a:ln w="12700">
      <a:solidFill/>
    </a:ln>
  </c:spPr>
  <c:txPr>
    <a:bodyPr vert="horz" rot="0"/>
    <a:lstStyle/>
    <a:p>
      <a:pPr>
        <a:defRPr lang="en-US" cap="none" sz="1075" b="0" i="0" u="none" baseline="0">
          <a:latin typeface="Arial Tur"/>
          <a:ea typeface="Arial Tur"/>
          <a:cs typeface="Arial Tur"/>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19 - Kurumun Sağlık Giderleri (Milyar TL)
(Health Expenditures of SII)</a:t>
            </a:r>
          </a:p>
        </c:rich>
      </c:tx>
      <c:layout>
        <c:manualLayout>
          <c:xMode val="factor"/>
          <c:yMode val="factor"/>
          <c:x val="0"/>
          <c:y val="0.0145"/>
        </c:manualLayout>
      </c:layout>
      <c:spPr>
        <a:noFill/>
        <a:ln>
          <a:noFill/>
        </a:ln>
      </c:spPr>
    </c:title>
    <c:plotArea>
      <c:layout>
        <c:manualLayout>
          <c:xMode val="edge"/>
          <c:yMode val="edge"/>
          <c:x val="0.04125"/>
          <c:y val="0.21975"/>
          <c:w val="0.95225"/>
          <c:h val="0.752"/>
        </c:manualLayout>
      </c:layout>
      <c:barChart>
        <c:barDir val="col"/>
        <c:grouping val="clustered"/>
        <c:varyColors val="0"/>
        <c:ser>
          <c:idx val="0"/>
          <c:order val="0"/>
          <c:tx>
            <c:strRef>
              <c:f>'(19)'!$B$3</c:f>
              <c:strCache>
                <c:ptCount val="1"/>
                <c:pt idx="0">
                  <c:v>KURUMUN SAĞLIK TESİSLERİ GİDERLERİ</c:v>
                </c:pt>
              </c:strCache>
            </c:strRef>
          </c:tx>
          <c:spPr>
            <a:blipFill>
              <a:blip r:embed="rId1"/>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575" b="1" i="0" u="none" baseline="0">
                      <a:solidFill>
                        <a:srgbClr val="800000"/>
                      </a:solidFill>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75" b="1" i="0" u="none" baseline="0">
                    <a:solidFill>
                      <a:srgbClr val="800000"/>
                    </a:solidFill>
                    <a:latin typeface="Arial Tur"/>
                    <a:ea typeface="Arial Tur"/>
                    <a:cs typeface="Arial Tur"/>
                  </a:defRPr>
                </a:pPr>
              </a:p>
            </c:txPr>
            <c:showLegendKey val="0"/>
            <c:showVal val="1"/>
            <c:showBubbleSize val="0"/>
            <c:showCatName val="0"/>
            <c:showSerName val="0"/>
            <c:showPercent val="0"/>
          </c:dLbls>
          <c:cat>
            <c:strRef>
              <c:f>'(19)'!$A$4:$A$16</c:f>
              <c:strCache/>
            </c:strRef>
          </c:cat>
          <c:val>
            <c:numRef>
              <c:f>'(19)'!$B$4:$B$16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'(19)'!$E$3</c:f>
              <c:strCache>
                <c:ptCount val="1"/>
                <c:pt idx="0">
                  <c:v>DIŞARIDAN SATIN ALINAN HİZMET</c:v>
                </c:pt>
              </c:strCache>
            </c:strRef>
          </c:tx>
          <c:spPr>
            <a:blipFill>
              <a:blip r:embed="rId2"/>
              <a:srcRect/>
              <a:tile sx="100000" sy="100000" flip="none" algn="tl"/>
            </a:blip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75" b="1" i="0" u="none" baseline="0">
                      <a:solidFill>
                        <a:srgbClr val="FF6600"/>
                      </a:solidFill>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1" i="0" u="none" baseline="0">
                      <a:solidFill>
                        <a:srgbClr val="FF6600"/>
                      </a:solidFill>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1" i="0" u="none" baseline="0">
                      <a:solidFill>
                        <a:srgbClr val="FF6600"/>
                      </a:solidFill>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1" i="0" u="none" baseline="0">
                      <a:solidFill>
                        <a:srgbClr val="FF6600"/>
                      </a:solidFill>
                      <a:latin typeface="Arial Tur"/>
                      <a:ea typeface="Arial Tur"/>
                      <a:cs typeface="Arial Tur"/>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1" i="0" u="none" baseline="0">
                      <a:solidFill>
                        <a:srgbClr val="FF6600"/>
                      </a:solidFill>
                      <a:latin typeface="Arial Tur"/>
                      <a:ea typeface="Arial Tur"/>
                      <a:cs typeface="Arial Tur"/>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1" i="0" u="none" baseline="0">
                      <a:solidFill>
                        <a:srgbClr val="FF6600"/>
                      </a:solidFill>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75" b="1" i="0" u="none" baseline="0">
                    <a:solidFill>
                      <a:srgbClr val="FF6600"/>
                    </a:solidFill>
                    <a:latin typeface="Arial Tur"/>
                    <a:ea typeface="Arial Tur"/>
                    <a:cs typeface="Arial Tur"/>
                  </a:defRPr>
                </a:pPr>
              </a:p>
            </c:txPr>
            <c:showLegendKey val="0"/>
            <c:showVal val="1"/>
            <c:showBubbleSize val="0"/>
            <c:showCatName val="0"/>
            <c:showSerName val="0"/>
            <c:showPercent val="0"/>
          </c:dLbls>
          <c:cat>
            <c:strRef>
              <c:f>'(19)'!$A$4:$A$16</c:f>
              <c:strCache/>
            </c:strRef>
          </c:cat>
          <c:val>
            <c:numRef>
              <c:f>'(19)'!$E$4:$E$16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5453502"/>
        <c:axId val="29319471"/>
      </c:barChart>
      <c:catAx>
        <c:axId val="55453502"/>
        <c:scaling>
          <c:orientation val="minMax"/>
        </c:scaling>
        <c:axPos val="b"/>
        <c:delete val="0"/>
        <c:numFmt formatCode="General" sourceLinked="1"/>
        <c:majorTickMark val="out"/>
        <c:minorTickMark val="none"/>
        <c:tickLblPos val="nextTo"/>
        <c:spPr>
          <a:ln w="3175">
            <a:noFill/>
          </a:ln>
        </c:spPr>
        <c:txPr>
          <a:bodyPr/>
          <a:lstStyle/>
          <a:p>
            <a:pPr>
              <a:defRPr lang="en-US" cap="none" sz="575" b="1" i="0" u="none" baseline="0">
                <a:latin typeface="Arial Tur"/>
                <a:ea typeface="Arial Tur"/>
                <a:cs typeface="Arial Tur"/>
              </a:defRPr>
            </a:pPr>
          </a:p>
        </c:txPr>
        <c:crossAx val="29319471"/>
        <c:crosses val="autoZero"/>
        <c:auto val="1"/>
        <c:lblOffset val="100"/>
        <c:noMultiLvlLbl val="0"/>
      </c:catAx>
      <c:valAx>
        <c:axId val="29319471"/>
        <c:scaling>
          <c:orientation val="minMax"/>
        </c:scaling>
        <c:axPos val="l"/>
        <c:delete val="1"/>
        <c:majorTickMark val="out"/>
        <c:minorTickMark val="none"/>
        <c:tickLblPos val="nextTo"/>
        <c:crossAx val="55453502"/>
        <c:crossesAt val="1"/>
        <c:crossBetween val="between"/>
        <c:dispUnits/>
      </c:valAx>
      <c:spPr>
        <a:noFill/>
        <a:ln>
          <a:noFill/>
        </a:ln>
      </c:spPr>
    </c:plotArea>
    <c:legend>
      <c:legendPos val="r"/>
      <c:layout>
        <c:manualLayout>
          <c:xMode val="edge"/>
          <c:yMode val="edge"/>
          <c:x val="0.0095"/>
          <c:y val="0.54275"/>
          <c:w val="0.31325"/>
          <c:h val="0.196"/>
        </c:manualLayout>
      </c:layout>
      <c:overlay val="0"/>
      <c:spPr>
        <a:solidFill>
          <a:srgbClr val="FFFFCC"/>
        </a:solidFill>
        <a:effectLst>
          <a:outerShdw dist="35921" dir="2700000" algn="br">
            <a:prstClr val="black"/>
          </a:outerShdw>
        </a:effectLst>
      </c:spPr>
    </c:legend>
    <c:plotVisOnly val="1"/>
    <c:dispBlanksAs val="gap"/>
    <c:showDLblsOverMax val="0"/>
  </c:chart>
  <c:spPr>
    <a:solidFill>
      <a:srgbClr val="FFFFCC"/>
    </a:solidFill>
  </c:spPr>
  <c:txPr>
    <a:bodyPr vert="horz" rot="0"/>
    <a:lstStyle/>
    <a:p>
      <a:pPr>
        <a:defRPr lang="en-US" cap="none" sz="800" b="0" i="0" u="none" baseline="0">
          <a:latin typeface="Arial Tur"/>
          <a:ea typeface="Arial Tur"/>
          <a:cs typeface="Arial Tur"/>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20 - Toplam Sağlık Harcamaları      
             (Milyar TL)
                   (Expenditures of Health)</a:t>
            </a:r>
          </a:p>
        </c:rich>
      </c:tx>
      <c:layout/>
      <c:spPr>
        <a:noFill/>
        <a:ln>
          <a:noFill/>
        </a:ln>
      </c:spPr>
    </c:title>
    <c:view3D>
      <c:rotX val="15"/>
      <c:rotY val="20"/>
      <c:depthPercent val="100"/>
      <c:rAngAx val="1"/>
    </c:view3D>
    <c:plotArea>
      <c:layout>
        <c:manualLayout>
          <c:xMode val="edge"/>
          <c:yMode val="edge"/>
          <c:x val="0.00675"/>
          <c:y val="0.248"/>
          <c:w val="0.94575"/>
          <c:h val="0.7505"/>
        </c:manualLayout>
      </c:layout>
      <c:bar3DChart>
        <c:barDir val="col"/>
        <c:grouping val="stacked"/>
        <c:varyColors val="0"/>
        <c:ser>
          <c:idx val="0"/>
          <c:order val="0"/>
          <c:tx>
            <c:strRef>
              <c:f>'(20)'!$B$5:$B$9</c:f>
              <c:strCache>
                <c:ptCount val="1"/>
                <c:pt idx="0">
                  <c:v>44.754,5 87.937,2 199.230,4 406.180,4 748.699,5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'(20)'!$A$10:$A$15</c:f>
              <c:strCache/>
            </c:strRef>
          </c:cat>
          <c:val>
            <c:numRef>
              <c:f>'(20)'!$B$10:$B$15</c:f>
              <c:numCache>
                <c:ptCount val="6"/>
                <c:pt idx="0">
                  <c:v>0</c:v>
                </c:pt>
                <c:pt idx="1">
                  <c:v>0</c:v>
                </c:pt>
                <c:pt idx="2">
                  <c:v>0</c:v>
                </c:pt>
                <c:pt idx="3">
                  <c:v>0</c:v>
                </c:pt>
                <c:pt idx="4">
                  <c:v>0</c:v>
                </c:pt>
                <c:pt idx="5">
                  <c:v>0</c:v>
                </c:pt>
              </c:numCache>
            </c:numRef>
          </c:val>
          <c:shape val="box"/>
        </c:ser>
        <c:overlap val="100"/>
        <c:shape val="box"/>
        <c:axId val="62548648"/>
        <c:axId val="26066921"/>
      </c:bar3DChart>
      <c:catAx>
        <c:axId val="62548648"/>
        <c:scaling>
          <c:orientation val="minMax"/>
        </c:scaling>
        <c:axPos val="b"/>
        <c:delete val="0"/>
        <c:numFmt formatCode="General" sourceLinked="1"/>
        <c:majorTickMark val="out"/>
        <c:minorTickMark val="none"/>
        <c:tickLblPos val="low"/>
        <c:txPr>
          <a:bodyPr vert="horz" rot="-2700000"/>
          <a:lstStyle/>
          <a:p>
            <a:pPr>
              <a:defRPr lang="en-US" cap="none" sz="800" b="1" i="0" u="none" baseline="0">
                <a:latin typeface="Arial Tur"/>
                <a:ea typeface="Arial Tur"/>
                <a:cs typeface="Arial Tur"/>
              </a:defRPr>
            </a:pPr>
          </a:p>
        </c:txPr>
        <c:crossAx val="26066921"/>
        <c:crosses val="autoZero"/>
        <c:auto val="1"/>
        <c:lblOffset val="100"/>
        <c:noMultiLvlLbl val="0"/>
      </c:catAx>
      <c:valAx>
        <c:axId val="26066921"/>
        <c:scaling>
          <c:orientation val="minMax"/>
        </c:scaling>
        <c:axPos val="l"/>
        <c:majorGridlines>
          <c:spPr>
            <a:ln w="3175">
              <a:solidFill/>
              <a:prstDash val="sysDot"/>
            </a:ln>
          </c:spPr>
        </c:majorGridlines>
        <c:delete val="0"/>
        <c:numFmt formatCode="General" sourceLinked="1"/>
        <c:majorTickMark val="out"/>
        <c:minorTickMark val="none"/>
        <c:tickLblPos val="nextTo"/>
        <c:crossAx val="62548648"/>
        <c:crossesAt val="1"/>
        <c:crossBetween val="between"/>
        <c:dispUnits/>
      </c:valAx>
      <c:spPr>
        <a:noFill/>
        <a:ln>
          <a:noFill/>
        </a:ln>
      </c:spPr>
    </c:plotArea>
    <c:floor>
      <c:thickness val="0"/>
    </c:floor>
    <c:sideWall>
      <c:spPr>
        <a:noFill/>
        <a:ln w="3175">
          <a:solidFill/>
        </a:ln>
      </c:spPr>
      <c:thickness val="0"/>
    </c:sideWall>
    <c:backWall>
      <c:spPr>
        <a:noFill/>
        <a:ln w="3175">
          <a:solidFill/>
        </a:ln>
      </c:spPr>
      <c:thickness val="0"/>
    </c:backWall>
    <c:plotVisOnly val="1"/>
    <c:dispBlanksAs val="gap"/>
    <c:showDLblsOverMax val="0"/>
  </c:chart>
  <c:spPr>
    <a:ln w="12700">
      <a:solidFill/>
    </a:ln>
  </c:spPr>
  <c:txPr>
    <a:bodyPr vert="horz" rot="0"/>
    <a:lstStyle/>
    <a:p>
      <a:pPr>
        <a:defRPr lang="en-US" cap="none" sz="800" b="0" i="0" u="none" baseline="0">
          <a:latin typeface="Arial Tur"/>
          <a:ea typeface="Arial Tur"/>
          <a:cs typeface="Arial Tur"/>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Tur"/>
                <a:ea typeface="Arial Tur"/>
                <a:cs typeface="Arial Tur"/>
              </a:rPr>
              <a:t>GRAFİK 21 - SSK'nın Sağlık ve İlaç Giderleri  (Milyar TL)</a:t>
            </a:r>
          </a:p>
        </c:rich>
      </c:tx>
      <c:layout>
        <c:manualLayout>
          <c:xMode val="factor"/>
          <c:yMode val="factor"/>
          <c:x val="0"/>
          <c:y val="0.01825"/>
        </c:manualLayout>
      </c:layout>
      <c:spPr>
        <a:noFill/>
        <a:ln>
          <a:noFill/>
        </a:ln>
      </c:spPr>
    </c:title>
    <c:plotArea>
      <c:layout>
        <c:manualLayout>
          <c:xMode val="edge"/>
          <c:yMode val="edge"/>
          <c:x val="0.02625"/>
          <c:y val="0.229"/>
          <c:w val="0.97375"/>
          <c:h val="0.4955"/>
        </c:manualLayout>
      </c:layout>
      <c:barChart>
        <c:barDir val="col"/>
        <c:grouping val="clustered"/>
        <c:varyColors val="0"/>
        <c:ser>
          <c:idx val="1"/>
          <c:order val="0"/>
          <c:tx>
            <c:v>Sağlık Giderleri</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'(20)'!$A$10:$A$15</c:f>
              <c:strCache/>
            </c:strRef>
          </c:cat>
          <c:val>
            <c:numRef>
              <c:f>'(20)'!$B$10:$B$15</c:f>
              <c:numCache>
                <c:ptCount val="6"/>
                <c:pt idx="0">
                  <c:v>0</c:v>
                </c:pt>
                <c:pt idx="1">
                  <c:v>0</c:v>
                </c:pt>
                <c:pt idx="2">
                  <c:v>0</c:v>
                </c:pt>
                <c:pt idx="3">
                  <c:v>0</c:v>
                </c:pt>
                <c:pt idx="4">
                  <c:v>0</c:v>
                </c:pt>
                <c:pt idx="5">
                  <c:v>0</c:v>
                </c:pt>
              </c:numCache>
            </c:numRef>
          </c:val>
        </c:ser>
        <c:ser>
          <c:idx val="0"/>
          <c:order val="1"/>
          <c:tx>
            <c:v>ilaç Giderleri</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'(20)'!$A$10:$A$15</c:f>
              <c:strCache/>
            </c:strRef>
          </c:cat>
          <c:val>
            <c:numRef>
              <c:f>'(20)'!$C$10:$C$15</c:f>
              <c:numCache>
                <c:ptCount val="6"/>
                <c:pt idx="0">
                  <c:v>0</c:v>
                </c:pt>
                <c:pt idx="1">
                  <c:v>0</c:v>
                </c:pt>
                <c:pt idx="2">
                  <c:v>0</c:v>
                </c:pt>
                <c:pt idx="3">
                  <c:v>0</c:v>
                </c:pt>
                <c:pt idx="4">
                  <c:v>0</c:v>
                </c:pt>
                <c:pt idx="5">
                  <c:v>0</c:v>
                </c:pt>
              </c:numCache>
            </c:numRef>
          </c:val>
        </c:ser>
        <c:axId val="33275698"/>
        <c:axId val="31045827"/>
      </c:barChart>
      <c:lineChart>
        <c:grouping val="standard"/>
        <c:varyColors val="0"/>
        <c:ser>
          <c:idx val="2"/>
          <c:order val="2"/>
          <c:tx>
            <c:v>İlaç Giderlerinin Sağlık Giderleri İçindeki Oranı</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FF00"/>
                </a:solidFill>
              </a:ln>
            </c:spPr>
          </c:marker>
          <c:dLbls>
            <c:dLbl>
              <c:idx val="0"/>
              <c:layout>
                <c:manualLayout>
                  <c:x val="0"/>
                  <c:y val="0"/>
                </c:manualLayout>
              </c:layout>
              <c:txPr>
                <a:bodyPr vert="horz" rot="0" anchor="ctr"/>
                <a:lstStyle/>
                <a:p>
                  <a:pPr algn="ctr">
                    <a:defRPr lang="en-US" cap="none" sz="800" b="1" i="0" u="none" baseline="0">
                      <a:solidFill>
                        <a:srgbClr val="FF0000"/>
                      </a:solidFill>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FF0000"/>
                      </a:solidFill>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solidFill>
                        <a:srgbClr val="FF0000"/>
                      </a:solidFill>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0000"/>
                    </a:solidFill>
                    <a:latin typeface="Arial Tur"/>
                    <a:ea typeface="Arial Tur"/>
                    <a:cs typeface="Arial Tur"/>
                  </a:defRPr>
                </a:pPr>
              </a:p>
            </c:txPr>
            <c:showLegendKey val="0"/>
            <c:showVal val="1"/>
            <c:showBubbleSize val="0"/>
            <c:showCatName val="0"/>
            <c:showSerName val="0"/>
            <c:showLeaderLines val="1"/>
            <c:showPercent val="0"/>
          </c:dLbls>
          <c:cat>
            <c:strRef>
              <c:f>'(20)'!$A$10:$A$15</c:f>
              <c:strCache/>
            </c:strRef>
          </c:cat>
          <c:val>
            <c:numRef>
              <c:f>'(20)'!$E$10:$E$15</c:f>
              <c:numCache>
                <c:ptCount val="6"/>
                <c:pt idx="0">
                  <c:v>0</c:v>
                </c:pt>
                <c:pt idx="1">
                  <c:v>0</c:v>
                </c:pt>
                <c:pt idx="2">
                  <c:v>0</c:v>
                </c:pt>
                <c:pt idx="3">
                  <c:v>0</c:v>
                </c:pt>
                <c:pt idx="4">
                  <c:v>0</c:v>
                </c:pt>
                <c:pt idx="5">
                  <c:v>0</c:v>
                </c:pt>
              </c:numCache>
            </c:numRef>
          </c:val>
          <c:smooth val="0"/>
        </c:ser>
        <c:axId val="10976988"/>
        <c:axId val="31684029"/>
      </c:lineChart>
      <c:catAx>
        <c:axId val="33275698"/>
        <c:scaling>
          <c:orientation val="minMax"/>
        </c:scaling>
        <c:axPos val="b"/>
        <c:delete val="0"/>
        <c:numFmt formatCode="General" sourceLinked="1"/>
        <c:majorTickMark val="in"/>
        <c:minorTickMark val="none"/>
        <c:tickLblPos val="nextTo"/>
        <c:txPr>
          <a:bodyPr/>
          <a:lstStyle/>
          <a:p>
            <a:pPr>
              <a:defRPr lang="en-US" cap="none" sz="800" b="1" i="0" u="none" baseline="0">
                <a:latin typeface="Arial Tur"/>
                <a:ea typeface="Arial Tur"/>
                <a:cs typeface="Arial Tur"/>
              </a:defRPr>
            </a:pPr>
          </a:p>
        </c:txPr>
        <c:crossAx val="31045827"/>
        <c:crosses val="autoZero"/>
        <c:auto val="0"/>
        <c:lblOffset val="100"/>
        <c:noMultiLvlLbl val="0"/>
      </c:catAx>
      <c:valAx>
        <c:axId val="31045827"/>
        <c:scaling>
          <c:orientation val="minMax"/>
        </c:scaling>
        <c:axPos val="l"/>
        <c:delete val="0"/>
        <c:numFmt formatCode="General" sourceLinked="1"/>
        <c:majorTickMark val="in"/>
        <c:minorTickMark val="none"/>
        <c:tickLblPos val="nextTo"/>
        <c:txPr>
          <a:bodyPr/>
          <a:lstStyle/>
          <a:p>
            <a:pPr>
              <a:defRPr lang="en-US" cap="none" sz="800" b="0" i="0" u="none" baseline="0">
                <a:latin typeface="Arial Tur"/>
                <a:ea typeface="Arial Tur"/>
                <a:cs typeface="Arial Tur"/>
              </a:defRPr>
            </a:pPr>
          </a:p>
        </c:txPr>
        <c:crossAx val="33275698"/>
        <c:crossesAt val="1"/>
        <c:crossBetween val="between"/>
        <c:dispUnits/>
      </c:valAx>
      <c:catAx>
        <c:axId val="10976988"/>
        <c:scaling>
          <c:orientation val="minMax"/>
        </c:scaling>
        <c:axPos val="b"/>
        <c:delete val="1"/>
        <c:majorTickMark val="in"/>
        <c:minorTickMark val="none"/>
        <c:tickLblPos val="nextTo"/>
        <c:crossAx val="31684029"/>
        <c:crosses val="autoZero"/>
        <c:auto val="0"/>
        <c:lblOffset val="100"/>
        <c:noMultiLvlLbl val="0"/>
      </c:catAx>
      <c:valAx>
        <c:axId val="31684029"/>
        <c:scaling>
          <c:orientation val="minMax"/>
        </c:scaling>
        <c:axPos val="l"/>
        <c:delete val="0"/>
        <c:numFmt formatCode="General" sourceLinked="1"/>
        <c:majorTickMark val="in"/>
        <c:minorTickMark val="none"/>
        <c:tickLblPos val="nextTo"/>
        <c:crossAx val="10976988"/>
        <c:crosses val="max"/>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00" b="0" i="0" u="none" baseline="0">
              <a:latin typeface="Arial Tur"/>
              <a:ea typeface="Arial Tur"/>
              <a:cs typeface="Arial Tur"/>
            </a:defRPr>
          </a:pPr>
        </a:p>
      </c:txPr>
    </c:legend>
    <c:plotVisOnly val="1"/>
    <c:dispBlanksAs val="gap"/>
    <c:showDLblsOverMax val="0"/>
  </c:chart>
  <c:spPr>
    <a:ln w="12700">
      <a:solidFill/>
    </a:ln>
  </c:spPr>
  <c:txPr>
    <a:bodyPr vert="horz" rot="0"/>
    <a:lstStyle/>
    <a:p>
      <a:pPr>
        <a:defRPr lang="en-US" cap="none" sz="1000" b="0" i="0" u="none" baseline="0">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Tur"/>
                <a:ea typeface="Arial Tur"/>
                <a:cs typeface="Arial Tur"/>
              </a:rPr>
              <a:t>GRAFİK 2- MERKEZ TEŞKİLATI KADRO VE ÇALIŞAN PERSONEL DAĞILIMI 
(31.01.2006)</a:t>
            </a:r>
          </a:p>
        </c:rich>
      </c:tx>
      <c:layout>
        <c:manualLayout>
          <c:xMode val="factor"/>
          <c:yMode val="factor"/>
          <c:x val="0.0055"/>
          <c:y val="-0.01"/>
        </c:manualLayout>
      </c:layout>
      <c:spPr>
        <a:noFill/>
        <a:ln>
          <a:noFill/>
        </a:ln>
      </c:spPr>
    </c:title>
    <c:plotArea>
      <c:layout>
        <c:manualLayout>
          <c:xMode val="edge"/>
          <c:yMode val="edge"/>
          <c:x val="0.0155"/>
          <c:y val="0.104"/>
          <c:w val="0.98325"/>
          <c:h val="0.896"/>
        </c:manualLayout>
      </c:layout>
      <c:barChart>
        <c:barDir val="col"/>
        <c:grouping val="clustered"/>
        <c:varyColors val="0"/>
        <c:ser>
          <c:idx val="0"/>
          <c:order val="0"/>
          <c:tx>
            <c:strRef>
              <c:f>'(3)'!$C$27</c:f>
              <c:strCache>
                <c:ptCount val="1"/>
                <c:pt idx="0">
                  <c:v>KADRO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Tur"/>
                    <a:ea typeface="Arial Tur"/>
                    <a:cs typeface="Arial Tur"/>
                  </a:defRPr>
                </a:pPr>
              </a:p>
            </c:txPr>
            <c:showLegendKey val="0"/>
            <c:showVal val="1"/>
            <c:showBubbleSize val="0"/>
            <c:showCatName val="0"/>
            <c:showSerName val="0"/>
            <c:showPercent val="0"/>
          </c:dLbls>
          <c:cat>
            <c:multiLvlStrRef>
              <c:f>'(3)'!$A$28:$B$33</c:f>
              <c:multiLvlStrCache/>
            </c:multiLvlStrRef>
          </c:cat>
          <c:val>
            <c:numRef>
              <c:f>'(3)'!$C$28:$C$33</c:f>
              <c:numCache>
                <c:ptCount val="6"/>
                <c:pt idx="0">
                  <c:v>0</c:v>
                </c:pt>
                <c:pt idx="1">
                  <c:v>0</c:v>
                </c:pt>
                <c:pt idx="2">
                  <c:v>0</c:v>
                </c:pt>
                <c:pt idx="3">
                  <c:v>0</c:v>
                </c:pt>
                <c:pt idx="4">
                  <c:v>0</c:v>
                </c:pt>
                <c:pt idx="5">
                  <c:v>0</c:v>
                </c:pt>
              </c:numCache>
            </c:numRef>
          </c:val>
        </c:ser>
        <c:ser>
          <c:idx val="1"/>
          <c:order val="1"/>
          <c:tx>
            <c:strRef>
              <c:f>'(3)'!$E$27</c:f>
              <c:strCache>
                <c:ptCount val="1"/>
                <c:pt idx="0">
                  <c:v>ÇALIŞAN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Tur"/>
                      <a:ea typeface="Arial Tur"/>
                      <a:cs typeface="Arial Tur"/>
                    </a:defRPr>
                  </a:pPr>
                </a:p>
              </c:txPr>
              <c:numFmt formatCode="General" sourceLinked="1"/>
              <c:spPr>
                <a:solidFill>
                  <a:srgbClr val="FFFFCC"/>
                </a:solidFill>
                <a:ln w="3175">
                  <a:noFill/>
                </a:ln>
              </c:spPr>
              <c:showLegendKey val="0"/>
              <c:showVal val="1"/>
              <c:showBubbleSize val="0"/>
              <c:showCatName val="0"/>
              <c:showSerName val="0"/>
              <c:showPercent val="0"/>
            </c:dLbl>
            <c:numFmt formatCode="General" sourceLinked="1"/>
            <c:spPr>
              <a:solidFill>
                <a:srgbClr val="FFFFCC"/>
              </a:solidFill>
              <a:ln w="3175">
                <a:noFill/>
              </a:ln>
            </c:spPr>
            <c:txPr>
              <a:bodyPr vert="horz" rot="0" anchor="ctr"/>
              <a:lstStyle/>
              <a:p>
                <a:pPr algn="ctr">
                  <a:defRPr lang="en-US" cap="none" sz="800" b="0" i="0" u="none" baseline="0">
                    <a:latin typeface="Arial Tur"/>
                    <a:ea typeface="Arial Tur"/>
                    <a:cs typeface="Arial Tur"/>
                  </a:defRPr>
                </a:pPr>
              </a:p>
            </c:txPr>
            <c:showLegendKey val="0"/>
            <c:showVal val="1"/>
            <c:showBubbleSize val="0"/>
            <c:showCatName val="0"/>
            <c:showSerName val="0"/>
            <c:showPercent val="0"/>
          </c:dLbls>
          <c:cat>
            <c:multiLvlStrRef>
              <c:f>'(3)'!$A$28:$B$33</c:f>
              <c:multiLvlStrCache/>
            </c:multiLvlStrRef>
          </c:cat>
          <c:val>
            <c:numRef>
              <c:f>'(3)'!$E$28:$E$33</c:f>
              <c:numCache>
                <c:ptCount val="6"/>
                <c:pt idx="0">
                  <c:v>0</c:v>
                </c:pt>
                <c:pt idx="1">
                  <c:v>0</c:v>
                </c:pt>
                <c:pt idx="2">
                  <c:v>0</c:v>
                </c:pt>
                <c:pt idx="3">
                  <c:v>0</c:v>
                </c:pt>
                <c:pt idx="4">
                  <c:v>0</c:v>
                </c:pt>
                <c:pt idx="5">
                  <c:v>0</c:v>
                </c:pt>
              </c:numCache>
            </c:numRef>
          </c:val>
        </c:ser>
        <c:axId val="19544826"/>
        <c:axId val="41685707"/>
      </c:barChart>
      <c:catAx>
        <c:axId val="19544826"/>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Tur"/>
                <a:ea typeface="Arial Tur"/>
                <a:cs typeface="Arial Tur"/>
              </a:defRPr>
            </a:pPr>
          </a:p>
        </c:txPr>
        <c:crossAx val="41685707"/>
        <c:crosses val="autoZero"/>
        <c:auto val="1"/>
        <c:lblOffset val="100"/>
        <c:noMultiLvlLbl val="0"/>
      </c:catAx>
      <c:valAx>
        <c:axId val="41685707"/>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Tur"/>
                <a:ea typeface="Arial Tur"/>
                <a:cs typeface="Arial Tur"/>
              </a:defRPr>
            </a:pPr>
          </a:p>
        </c:txPr>
        <c:crossAx val="19544826"/>
        <c:crossesAt val="1"/>
        <c:crossBetween val="between"/>
        <c:dispUnits/>
      </c:valAx>
      <c:spPr>
        <a:solidFill>
          <a:srgbClr val="FFFFFF"/>
        </a:solidFill>
        <a:ln w="12700">
          <a:solidFill>
            <a:srgbClr val="FFFFFF"/>
          </a:solidFill>
        </a:ln>
      </c:spPr>
    </c:plotArea>
    <c:legend>
      <c:legendPos val="r"/>
      <c:layout>
        <c:manualLayout>
          <c:xMode val="edge"/>
          <c:yMode val="edge"/>
          <c:x val="0.52175"/>
          <c:y val="0.24825"/>
        </c:manualLayout>
      </c:layout>
      <c:overlay val="0"/>
    </c:legend>
    <c:plotVisOnly val="1"/>
    <c:dispBlanksAs val="gap"/>
    <c:showDLblsOverMax val="0"/>
  </c:chart>
  <c:spPr>
    <a:ln w="12700">
      <a:solidFill/>
    </a:ln>
  </c:spPr>
  <c:txPr>
    <a:bodyPr vert="horz" rot="0"/>
    <a:lstStyle/>
    <a:p>
      <a:pPr>
        <a:defRPr lang="en-US" cap="none" sz="1050" b="0" i="0" u="none" baseline="0">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Tur"/>
                <a:ea typeface="Arial Tur"/>
                <a:cs typeface="Arial Tur"/>
              </a:rPr>
              <a:t>GRAFİK 3 - TAŞRA TEŞKİLATI PERSONEL DURUMU
SİGORTA TESİSLERİ</a:t>
            </a:r>
          </a:p>
        </c:rich>
      </c:tx>
      <c:layout/>
      <c:spPr>
        <a:noFill/>
        <a:ln>
          <a:noFill/>
        </a:ln>
      </c:spPr>
    </c:title>
    <c:view3D>
      <c:rotX val="15"/>
      <c:rotY val="20"/>
      <c:depthPercent val="100"/>
      <c:rAngAx val="1"/>
    </c:view3D>
    <c:plotArea>
      <c:layout>
        <c:manualLayout>
          <c:xMode val="edge"/>
          <c:yMode val="edge"/>
          <c:x val="0.017"/>
          <c:y val="0.173"/>
          <c:w val="0.80925"/>
          <c:h val="0.7325"/>
        </c:manualLayout>
      </c:layout>
      <c:bar3DChart>
        <c:barDir val="col"/>
        <c:grouping val="clustered"/>
        <c:varyColors val="0"/>
        <c:ser>
          <c:idx val="0"/>
          <c:order val="0"/>
          <c:tx>
            <c:v>KADRO</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1"/>
            <c:showBubbleSize val="0"/>
            <c:showCatName val="0"/>
            <c:showSerName val="0"/>
            <c:showPercent val="0"/>
          </c:dLbls>
          <c:cat>
            <c:strRef>
              <c:f>'(4)'!$B$7:$B$10</c:f>
              <c:strCache/>
            </c:strRef>
          </c:cat>
          <c:val>
            <c:numRef>
              <c:f>'(4)'!$C$7:$C$10</c:f>
              <c:numCache>
                <c:ptCount val="4"/>
                <c:pt idx="0">
                  <c:v>0</c:v>
                </c:pt>
                <c:pt idx="1">
                  <c:v>0</c:v>
                </c:pt>
                <c:pt idx="2">
                  <c:v>0</c:v>
                </c:pt>
                <c:pt idx="3">
                  <c:v>0</c:v>
                </c:pt>
              </c:numCache>
            </c:numRef>
          </c:val>
          <c:shape val="cylinder"/>
        </c:ser>
        <c:ser>
          <c:idx val="1"/>
          <c:order val="1"/>
          <c:tx>
            <c:v>ÇALIŞAN</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1"/>
            <c:showBubbleSize val="0"/>
            <c:showCatName val="0"/>
            <c:showSerName val="0"/>
            <c:showPercent val="0"/>
          </c:dLbls>
          <c:cat>
            <c:strRef>
              <c:f>'(4)'!$B$7:$B$10</c:f>
              <c:strCache/>
            </c:strRef>
          </c:cat>
          <c:val>
            <c:numRef>
              <c:f>'(4)'!$D$7:$D$10</c:f>
              <c:numCache>
                <c:ptCount val="4"/>
                <c:pt idx="0">
                  <c:v>0</c:v>
                </c:pt>
                <c:pt idx="1">
                  <c:v>0</c:v>
                </c:pt>
                <c:pt idx="2">
                  <c:v>0</c:v>
                </c:pt>
                <c:pt idx="3">
                  <c:v>0</c:v>
                </c:pt>
              </c:numCache>
            </c:numRef>
          </c:val>
          <c:shape val="cylinder"/>
        </c:ser>
        <c:shape val="box"/>
        <c:axId val="39627044"/>
        <c:axId val="21099077"/>
      </c:bar3DChart>
      <c:catAx>
        <c:axId val="39627044"/>
        <c:scaling>
          <c:orientation val="minMax"/>
        </c:scaling>
        <c:axPos val="b"/>
        <c:delete val="0"/>
        <c:numFmt formatCode="General" sourceLinked="1"/>
        <c:majorTickMark val="out"/>
        <c:minorTickMark val="none"/>
        <c:tickLblPos val="low"/>
        <c:txPr>
          <a:bodyPr/>
          <a:lstStyle/>
          <a:p>
            <a:pPr>
              <a:defRPr lang="en-US" cap="none" sz="800" b="0" i="0" u="none" baseline="0">
                <a:latin typeface="Arial Tur"/>
                <a:ea typeface="Arial Tur"/>
                <a:cs typeface="Arial Tur"/>
              </a:defRPr>
            </a:pPr>
          </a:p>
        </c:txPr>
        <c:crossAx val="21099077"/>
        <c:crosses val="autoZero"/>
        <c:auto val="1"/>
        <c:lblOffset val="100"/>
        <c:noMultiLvlLbl val="0"/>
      </c:catAx>
      <c:valAx>
        <c:axId val="21099077"/>
        <c:scaling>
          <c:orientation val="minMax"/>
        </c:scaling>
        <c:axPos val="l"/>
        <c:majorGridlines/>
        <c:delete val="0"/>
        <c:numFmt formatCode="General" sourceLinked="1"/>
        <c:majorTickMark val="out"/>
        <c:minorTickMark val="none"/>
        <c:tickLblPos val="nextTo"/>
        <c:crossAx val="39627044"/>
        <c:crossesAt val="1"/>
        <c:crossBetween val="between"/>
        <c:dispUnits/>
      </c:valAx>
      <c:spPr>
        <a:noFill/>
        <a:ln>
          <a:noFill/>
        </a:ln>
      </c:spPr>
    </c:plotArea>
    <c:legend>
      <c:legendPos val="r"/>
      <c:layout>
        <c:manualLayout>
          <c:xMode val="edge"/>
          <c:yMode val="edge"/>
          <c:x val="0.82975"/>
          <c:y val="0.4725"/>
          <c:w val="0.16175"/>
          <c:h val="0.16475"/>
        </c:manualLayout>
      </c:layout>
      <c:overlay val="0"/>
      <c:spPr>
        <a:ln w="25400">
          <a:solidFill/>
        </a:ln>
      </c:spPr>
      <c:txPr>
        <a:bodyPr vert="horz" rot="0"/>
        <a:lstStyle/>
        <a:p>
          <a:pPr>
            <a:defRPr lang="en-US" cap="none" sz="800" b="0" i="0" u="none" baseline="0">
              <a:latin typeface="Arial Tur"/>
              <a:ea typeface="Arial Tur"/>
              <a:cs typeface="Arial Tur"/>
            </a:defRPr>
          </a:pPr>
        </a:p>
      </c:txPr>
    </c:legend>
    <c:floor>
      <c:spPr>
        <a:solidFill>
          <a:srgbClr val="80808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975" b="0" i="0" u="none" baseline="0">
          <a:latin typeface="Arial Tur"/>
          <a:ea typeface="Arial Tur"/>
          <a:cs typeface="Arial Tu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Tur"/>
                <a:ea typeface="Arial Tur"/>
                <a:cs typeface="Arial Tur"/>
              </a:rPr>
              <a:t>GRAFİK 4 - TAŞRA TEŞKİLATI PERSONEL DURUMU SAĞLIK TESİSLERİ</a:t>
            </a:r>
          </a:p>
        </c:rich>
      </c:tx>
      <c:layout>
        <c:manualLayout>
          <c:xMode val="factor"/>
          <c:yMode val="factor"/>
          <c:x val="-0.02675"/>
          <c:y val="-0.02175"/>
        </c:manualLayout>
      </c:layout>
      <c:spPr>
        <a:noFill/>
        <a:ln>
          <a:noFill/>
        </a:ln>
      </c:spPr>
    </c:title>
    <c:view3D>
      <c:rotX val="15"/>
      <c:rotY val="20"/>
      <c:depthPercent val="100"/>
      <c:rAngAx val="1"/>
    </c:view3D>
    <c:plotArea>
      <c:layout>
        <c:manualLayout>
          <c:xMode val="edge"/>
          <c:yMode val="edge"/>
          <c:x val="0.02075"/>
          <c:y val="0.22275"/>
          <c:w val="0.8175"/>
          <c:h val="0.74175"/>
        </c:manualLayout>
      </c:layout>
      <c:bar3DChart>
        <c:barDir val="col"/>
        <c:grouping val="clustered"/>
        <c:varyColors val="0"/>
        <c:ser>
          <c:idx val="0"/>
          <c:order val="0"/>
          <c:tx>
            <c:v>KADRO</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1"/>
            <c:showBubbleSize val="0"/>
            <c:showCatName val="0"/>
            <c:showSerName val="0"/>
            <c:showPercent val="0"/>
          </c:dLbls>
          <c:cat>
            <c:strRef>
              <c:f>'(4)'!$B$7:$B$10</c:f>
              <c:strCache/>
            </c:strRef>
          </c:cat>
          <c:val>
            <c:numRef>
              <c:f>'(4)'!$E$7:$E$10</c:f>
              <c:numCache>
                <c:ptCount val="4"/>
                <c:pt idx="0">
                  <c:v>0</c:v>
                </c:pt>
                <c:pt idx="1">
                  <c:v>0</c:v>
                </c:pt>
                <c:pt idx="2">
                  <c:v>0</c:v>
                </c:pt>
                <c:pt idx="3">
                  <c:v>0</c:v>
                </c:pt>
              </c:numCache>
            </c:numRef>
          </c:val>
          <c:shape val="cylinder"/>
        </c:ser>
        <c:ser>
          <c:idx val="1"/>
          <c:order val="1"/>
          <c:tx>
            <c:v>ÇALIŞAN</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1"/>
            <c:showBubbleSize val="0"/>
            <c:showCatName val="0"/>
            <c:showSerName val="0"/>
            <c:showPercent val="0"/>
          </c:dLbls>
          <c:cat>
            <c:strRef>
              <c:f>'(4)'!$B$7:$B$10</c:f>
              <c:strCache/>
            </c:strRef>
          </c:cat>
          <c:val>
            <c:numRef>
              <c:f>'(4)'!$F$7:$F$10</c:f>
              <c:numCache>
                <c:ptCount val="4"/>
                <c:pt idx="0">
                  <c:v>0</c:v>
                </c:pt>
                <c:pt idx="1">
                  <c:v>0</c:v>
                </c:pt>
                <c:pt idx="2">
                  <c:v>0</c:v>
                </c:pt>
                <c:pt idx="3">
                  <c:v>0</c:v>
                </c:pt>
              </c:numCache>
            </c:numRef>
          </c:val>
          <c:shape val="cylinder"/>
        </c:ser>
        <c:shape val="box"/>
        <c:axId val="55673966"/>
        <c:axId val="31303647"/>
      </c:bar3DChart>
      <c:catAx>
        <c:axId val="55673966"/>
        <c:scaling>
          <c:orientation val="minMax"/>
        </c:scaling>
        <c:axPos val="b"/>
        <c:delete val="0"/>
        <c:numFmt formatCode="General" sourceLinked="1"/>
        <c:majorTickMark val="out"/>
        <c:minorTickMark val="none"/>
        <c:tickLblPos val="low"/>
        <c:txPr>
          <a:bodyPr/>
          <a:lstStyle/>
          <a:p>
            <a:pPr>
              <a:defRPr lang="en-US" cap="none" sz="700" b="0" i="0" u="none" baseline="0">
                <a:latin typeface="Arial Tur"/>
                <a:ea typeface="Arial Tur"/>
                <a:cs typeface="Arial Tur"/>
              </a:defRPr>
            </a:pPr>
          </a:p>
        </c:txPr>
        <c:crossAx val="31303647"/>
        <c:crosses val="autoZero"/>
        <c:auto val="1"/>
        <c:lblOffset val="100"/>
        <c:noMultiLvlLbl val="0"/>
      </c:catAx>
      <c:valAx>
        <c:axId val="31303647"/>
        <c:scaling>
          <c:orientation val="minMax"/>
        </c:scaling>
        <c:axPos val="l"/>
        <c:majorGridlines/>
        <c:delete val="0"/>
        <c:numFmt formatCode="General" sourceLinked="1"/>
        <c:majorTickMark val="out"/>
        <c:minorTickMark val="none"/>
        <c:tickLblPos val="nextTo"/>
        <c:crossAx val="55673966"/>
        <c:crossesAt val="1"/>
        <c:crossBetween val="between"/>
        <c:dispUnits/>
      </c:valAx>
      <c:spPr>
        <a:noFill/>
        <a:ln>
          <a:noFill/>
        </a:ln>
      </c:spPr>
    </c:plotArea>
    <c:legend>
      <c:legendPos val="r"/>
      <c:layout/>
      <c:overlay val="0"/>
      <c:spPr>
        <a:ln w="25400">
          <a:solidFill/>
        </a:ln>
      </c:spPr>
      <c:txPr>
        <a:bodyPr vert="horz" rot="0"/>
        <a:lstStyle/>
        <a:p>
          <a:pPr>
            <a:defRPr lang="en-US" cap="none" sz="800" b="0" i="0" u="none" baseline="0">
              <a:latin typeface="Arial Tur"/>
              <a:ea typeface="Arial Tur"/>
              <a:cs typeface="Arial Tur"/>
            </a:defRPr>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1000" b="0" i="0" u="none" baseline="0">
          <a:latin typeface="Arial Tur"/>
          <a:ea typeface="Arial Tur"/>
          <a:cs typeface="Arial Tu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Tur"/>
                <a:ea typeface="Arial Tur"/>
                <a:cs typeface="Arial Tur"/>
              </a:rPr>
              <a:t>GRAFİK 6 - İLAÇ VE TIBBİ MALZEME SANAYİİ MÜESSESESİ PERSONEL DURUMU (31.01.2006)</a:t>
            </a:r>
          </a:p>
        </c:rich>
      </c:tx>
      <c:layout>
        <c:manualLayout>
          <c:xMode val="factor"/>
          <c:yMode val="factor"/>
          <c:x val="0"/>
          <c:y val="-0.00775"/>
        </c:manualLayout>
      </c:layout>
      <c:spPr>
        <a:noFill/>
        <a:ln>
          <a:noFill/>
        </a:ln>
      </c:spPr>
    </c:title>
    <c:view3D>
      <c:rotX val="15"/>
      <c:rotY val="20"/>
      <c:depthPercent val="100"/>
      <c:rAngAx val="1"/>
    </c:view3D>
    <c:plotArea>
      <c:layout>
        <c:manualLayout>
          <c:xMode val="edge"/>
          <c:yMode val="edge"/>
          <c:x val="0.0215"/>
          <c:y val="0.1445"/>
          <c:w val="0.844"/>
          <c:h val="0.836"/>
        </c:manualLayout>
      </c:layout>
      <c:bar3DChart>
        <c:barDir val="col"/>
        <c:grouping val="clustered"/>
        <c:varyColors val="0"/>
        <c:ser>
          <c:idx val="0"/>
          <c:order val="0"/>
          <c:tx>
            <c:strRef>
              <c:f>'(5)'!$C$8</c:f>
              <c:strCache>
                <c:ptCount val="1"/>
                <c:pt idx="0">
                  <c:v>   KADRO</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Tur"/>
                    <a:ea typeface="Arial Tur"/>
                    <a:cs typeface="Arial Tur"/>
                  </a:defRPr>
                </a:pPr>
              </a:p>
            </c:txPr>
            <c:showLegendKey val="0"/>
            <c:showVal val="1"/>
            <c:showBubbleSize val="0"/>
            <c:showCatName val="0"/>
            <c:showSerName val="0"/>
            <c:showPercent val="0"/>
          </c:dLbls>
          <c:cat>
            <c:strRef>
              <c:f>'(5)'!$A$10:$A$11</c:f>
              <c:strCache/>
            </c:strRef>
          </c:cat>
          <c:val>
            <c:numRef>
              <c:f>'(5)'!$C$10:$C$11</c:f>
              <c:numCache/>
            </c:numRef>
          </c:val>
          <c:shape val="box"/>
        </c:ser>
        <c:ser>
          <c:idx val="1"/>
          <c:order val="1"/>
          <c:tx>
            <c:strRef>
              <c:f>'(5)'!$D$8</c:f>
              <c:strCache>
                <c:ptCount val="1"/>
                <c:pt idx="0">
                  <c:v>    ÇALIŞAN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1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Tur"/>
                    <a:ea typeface="Arial Tur"/>
                    <a:cs typeface="Arial Tur"/>
                  </a:defRPr>
                </a:pPr>
              </a:p>
            </c:txPr>
            <c:showLegendKey val="0"/>
            <c:showVal val="1"/>
            <c:showBubbleSize val="0"/>
            <c:showCatName val="0"/>
            <c:showSerName val="0"/>
            <c:showPercent val="0"/>
          </c:dLbls>
          <c:cat>
            <c:strRef>
              <c:f>'(5)'!$A$10:$A$11</c:f>
              <c:strCache/>
            </c:strRef>
          </c:cat>
          <c:val>
            <c:numRef>
              <c:f>'(5)'!$D$10:$D$11</c:f>
              <c:numCache/>
            </c:numRef>
          </c:val>
          <c:shape val="box"/>
        </c:ser>
        <c:shape val="box"/>
        <c:axId val="13297368"/>
        <c:axId val="52567449"/>
      </c:bar3DChart>
      <c:catAx>
        <c:axId val="13297368"/>
        <c:scaling>
          <c:orientation val="minMax"/>
        </c:scaling>
        <c:axPos val="b"/>
        <c:delete val="0"/>
        <c:numFmt formatCode="General" sourceLinked="1"/>
        <c:majorTickMark val="out"/>
        <c:minorTickMark val="none"/>
        <c:tickLblPos val="low"/>
        <c:txPr>
          <a:bodyPr/>
          <a:lstStyle/>
          <a:p>
            <a:pPr>
              <a:defRPr lang="en-US" cap="none" sz="1025" b="1" i="0" u="none" baseline="0">
                <a:latin typeface="Arial Tur"/>
                <a:ea typeface="Arial Tur"/>
                <a:cs typeface="Arial Tur"/>
              </a:defRPr>
            </a:pPr>
          </a:p>
        </c:txPr>
        <c:crossAx val="52567449"/>
        <c:crosses val="autoZero"/>
        <c:auto val="1"/>
        <c:lblOffset val="100"/>
        <c:noMultiLvlLbl val="0"/>
      </c:catAx>
      <c:valAx>
        <c:axId val="52567449"/>
        <c:scaling>
          <c:orientation val="minMax"/>
        </c:scaling>
        <c:axPos val="l"/>
        <c:majorGridlines/>
        <c:delete val="0"/>
        <c:numFmt formatCode="General" sourceLinked="1"/>
        <c:majorTickMark val="out"/>
        <c:minorTickMark val="none"/>
        <c:tickLblPos val="nextTo"/>
        <c:crossAx val="13297368"/>
        <c:crossesAt val="1"/>
        <c:crossBetween val="between"/>
        <c:dispUnits/>
      </c:valAx>
      <c:spPr>
        <a:noFill/>
        <a:ln>
          <a:noFill/>
        </a:ln>
      </c:spPr>
    </c:plotArea>
    <c:legend>
      <c:legendPos val="r"/>
      <c:layout>
        <c:manualLayout>
          <c:xMode val="edge"/>
          <c:yMode val="edge"/>
          <c:x val="0.7695"/>
          <c:y val="0.89475"/>
        </c:manualLayout>
      </c:layout>
      <c:overlay val="0"/>
      <c:spPr>
        <a:ln w="25400">
          <a:solidFill/>
        </a:ln>
      </c:spPr>
      <c:txPr>
        <a:bodyPr vert="horz" rot="0"/>
        <a:lstStyle/>
        <a:p>
          <a:pPr>
            <a:defRPr lang="en-US" cap="none" sz="900" b="0" i="0" u="none" baseline="0">
              <a:latin typeface="Arial Tur"/>
              <a:ea typeface="Arial Tur"/>
              <a:cs typeface="Arial Tur"/>
            </a:defRPr>
          </a:pPr>
        </a:p>
      </c:txPr>
    </c:legend>
    <c:floor>
      <c:spPr>
        <a:gradFill rotWithShape="1">
          <a:gsLst>
            <a:gs pos="0">
              <a:srgbClr val="C0C0C0"/>
            </a:gs>
            <a:gs pos="100000">
              <a:srgbClr val="585858"/>
            </a:gs>
          </a:gsLst>
          <a:lin ang="5400000" scaled="1"/>
        </a:gradFill>
      </c:spPr>
      <c:thickness val="0"/>
    </c:floor>
    <c:sideWall>
      <c:spPr>
        <a:solidFill>
          <a:srgbClr val="FFFFFF"/>
        </a:solidFill>
        <a:ln w="3175">
          <a:solidFill/>
        </a:ln>
      </c:spPr>
      <c:thickness val="0"/>
    </c:sideWall>
    <c:backWall>
      <c:spPr>
        <a:solidFill>
          <a:srgbClr val="FFFFFF"/>
        </a:solidFill>
        <a:ln w="3175">
          <a:solidFill/>
        </a:ln>
      </c:spPr>
      <c:thickness val="0"/>
    </c:backWall>
    <c:plotVisOnly val="1"/>
    <c:dispBlanksAs val="gap"/>
    <c:showDLblsOverMax val="0"/>
  </c:chart>
  <c:spPr>
    <a:ln w="25400">
      <a:solidFill/>
    </a:ln>
  </c:spPr>
  <c:txPr>
    <a:bodyPr vert="horz" rot="0"/>
    <a:lstStyle/>
    <a:p>
      <a:pPr>
        <a:defRPr lang="en-US" cap="none" sz="1050" b="0" i="0" u="none" baseline="0">
          <a:latin typeface="Arial Tur"/>
          <a:ea typeface="Arial Tur"/>
          <a:cs typeface="Arial Tu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Tur"/>
                <a:ea typeface="Arial Tur"/>
                <a:cs typeface="Arial Tur"/>
              </a:rPr>
              <a:t>GRAFİK 7 - KURUMUN AÇIKLARININ YILLAR İTİBARİYLE DEĞİŞİMİ (MİLYON $)
(Changing in Balance of Payments of SII by Years)(MİLYON $) </a:t>
            </a:r>
          </a:p>
        </c:rich>
      </c:tx>
      <c:layout>
        <c:manualLayout>
          <c:xMode val="factor"/>
          <c:yMode val="factor"/>
          <c:x val="0.009"/>
          <c:y val="-0.02"/>
        </c:manualLayout>
      </c:layout>
      <c:spPr>
        <a:noFill/>
        <a:ln>
          <a:noFill/>
        </a:ln>
      </c:spPr>
    </c:title>
    <c:plotArea>
      <c:layout>
        <c:manualLayout>
          <c:xMode val="edge"/>
          <c:yMode val="edge"/>
          <c:x val="0.00125"/>
          <c:y val="0.1485"/>
          <c:w val="0.98725"/>
          <c:h val="0.8175"/>
        </c:manualLayout>
      </c:layout>
      <c:lineChart>
        <c:grouping val="standard"/>
        <c:varyColors val="0"/>
        <c:ser>
          <c:idx val="2"/>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6600"/>
              </a:solidFill>
              <a:ln>
                <a:solidFill>
                  <a:srgbClr val="FFFF00"/>
                </a:solidFill>
              </a:ln>
            </c:spPr>
          </c:marker>
          <c:dLbls>
            <c:dLbl>
              <c:idx val="0"/>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575" b="0"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75" b="0" i="0" u="none" baseline="0">
                    <a:latin typeface="Arial Tur"/>
                    <a:ea typeface="Arial Tur"/>
                    <a:cs typeface="Arial Tur"/>
                  </a:defRPr>
                </a:pPr>
              </a:p>
            </c:txPr>
            <c:showLegendKey val="0"/>
            <c:showVal val="1"/>
            <c:showBubbleSize val="0"/>
            <c:showCatName val="0"/>
            <c:showSerName val="0"/>
            <c:showLeaderLines val="1"/>
            <c:showPercent val="0"/>
          </c:dLbls>
          <c:cat>
            <c:strRef>
              <c:f>'(7)'!$A$7:$A$23</c:f>
              <c:strCache/>
            </c:strRef>
          </c:cat>
          <c:val>
            <c:numRef>
              <c:f>'(7)'!$H$7:$H$23</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3344994"/>
        <c:axId val="30104947"/>
      </c:lineChart>
      <c:catAx>
        <c:axId val="3344994"/>
        <c:scaling>
          <c:orientation val="minMax"/>
        </c:scaling>
        <c:axPos val="b"/>
        <c:delete val="0"/>
        <c:numFmt formatCode="General" sourceLinked="1"/>
        <c:majorTickMark val="out"/>
        <c:minorTickMark val="none"/>
        <c:tickLblPos val="nextTo"/>
        <c:spPr>
          <a:ln w="25400">
            <a:solidFill/>
          </a:ln>
        </c:spPr>
        <c:txPr>
          <a:bodyPr vert="horz" rot="0"/>
          <a:lstStyle/>
          <a:p>
            <a:pPr>
              <a:defRPr lang="en-US" cap="none" sz="800" b="1" i="0" u="none" baseline="0">
                <a:latin typeface="Arial Tur"/>
                <a:ea typeface="Arial Tur"/>
                <a:cs typeface="Arial Tur"/>
              </a:defRPr>
            </a:pPr>
          </a:p>
        </c:txPr>
        <c:crossAx val="30104947"/>
        <c:crosses val="autoZero"/>
        <c:auto val="1"/>
        <c:lblOffset val="100"/>
        <c:noMultiLvlLbl val="0"/>
      </c:catAx>
      <c:valAx>
        <c:axId val="30104947"/>
        <c:scaling>
          <c:orientation val="minMax"/>
        </c:scaling>
        <c:axPos val="l"/>
        <c:majorGridlines>
          <c:spPr>
            <a:ln w="12700">
              <a:solidFill/>
            </a:ln>
          </c:spPr>
        </c:majorGridlines>
        <c:delete val="0"/>
        <c:numFmt formatCode="General" sourceLinked="1"/>
        <c:majorTickMark val="out"/>
        <c:minorTickMark val="none"/>
        <c:tickLblPos val="nextTo"/>
        <c:spPr>
          <a:ln w="25400">
            <a:solidFill/>
          </a:ln>
        </c:spPr>
        <c:txPr>
          <a:bodyPr/>
          <a:lstStyle/>
          <a:p>
            <a:pPr>
              <a:defRPr lang="en-US" cap="none" sz="800" b="1" i="0" u="none" baseline="0">
                <a:latin typeface="Arial Tur"/>
                <a:ea typeface="Arial Tur"/>
                <a:cs typeface="Arial Tur"/>
              </a:defRPr>
            </a:pPr>
          </a:p>
        </c:txPr>
        <c:crossAx val="3344994"/>
        <c:crossesAt val="1"/>
        <c:crossBetween val="between"/>
        <c:dispUnits/>
      </c:valAx>
      <c:spPr>
        <a:solidFill>
          <a:srgbClr val="FFFFFF"/>
        </a:solidFill>
        <a:ln w="12700">
          <a:solidFill>
            <a:srgbClr val="808080"/>
          </a:solidFill>
        </a:ln>
      </c:spPr>
    </c:plotArea>
    <c:plotVisOnly val="1"/>
    <c:dispBlanksAs val="gap"/>
    <c:showDLblsOverMax val="0"/>
  </c:chart>
  <c:spPr>
    <a:ln w="25400">
      <a:solidFill/>
    </a:ln>
  </c:spPr>
  <c:txPr>
    <a:bodyPr vert="horz" rot="0"/>
    <a:lstStyle/>
    <a:p>
      <a:pPr>
        <a:defRPr lang="en-US" cap="none" sz="800" b="0" i="0" u="none" baseline="0">
          <a:latin typeface="Arial Tur"/>
          <a:ea typeface="Arial Tur"/>
          <a:cs typeface="Arial Tu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Tur"/>
                <a:ea typeface="Arial Tur"/>
                <a:cs typeface="Arial Tur"/>
              </a:rPr>
              <a:t>Grafik:8
</a:t>
            </a:r>
            <a:r>
              <a:rPr lang="en-US" cap="none" sz="975" b="1" i="0" u="none" baseline="0">
                <a:latin typeface="Arial Tur"/>
                <a:ea typeface="Arial Tur"/>
                <a:cs typeface="Arial Tur"/>
              </a:rPr>
              <a:t>SSK,BAĞ-KUR VE EMEKLİ SANDIĞINA YAPILAN BÜTÇE TRANSFERLERİ </a:t>
            </a:r>
          </a:p>
        </c:rich>
      </c:tx>
      <c:layout>
        <c:manualLayout>
          <c:xMode val="factor"/>
          <c:yMode val="factor"/>
          <c:x val="0.03"/>
          <c:y val="-0.009"/>
        </c:manualLayout>
      </c:layout>
      <c:spPr>
        <a:noFill/>
        <a:ln>
          <a:noFill/>
        </a:ln>
      </c:spPr>
    </c:title>
    <c:plotArea>
      <c:layout>
        <c:manualLayout>
          <c:xMode val="edge"/>
          <c:yMode val="edge"/>
          <c:x val="0.06775"/>
          <c:y val="0.142"/>
          <c:w val="0.81775"/>
          <c:h val="0.77075"/>
        </c:manualLayout>
      </c:layout>
      <c:barChart>
        <c:barDir val="col"/>
        <c:grouping val="clustered"/>
        <c:varyColors val="0"/>
        <c:ser>
          <c:idx val="0"/>
          <c:order val="0"/>
          <c:tx>
            <c:strRef>
              <c:f>'(8)'!$B$6</c:f>
              <c:strCache>
                <c:ptCount val="1"/>
                <c:pt idx="0">
                  <c:v>1999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'(8)'!$C$6:$E$6</c:f>
              <c:numCache>
                <c:ptCount val="3"/>
                <c:pt idx="0">
                  <c:v>0</c:v>
                </c:pt>
                <c:pt idx="1">
                  <c:v>0</c:v>
                </c:pt>
                <c:pt idx="2">
                  <c:v>0</c:v>
                </c:pt>
              </c:numCache>
            </c:numRef>
          </c:val>
        </c:ser>
        <c:ser>
          <c:idx val="1"/>
          <c:order val="1"/>
          <c:tx>
            <c:strRef>
              <c:f>'(8)'!$B$7</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'(8)'!$C$7:$E$7</c:f>
              <c:numCache>
                <c:ptCount val="3"/>
                <c:pt idx="0">
                  <c:v>0</c:v>
                </c:pt>
                <c:pt idx="1">
                  <c:v>0</c:v>
                </c:pt>
                <c:pt idx="2">
                  <c:v>0</c:v>
                </c:pt>
              </c:numCache>
            </c:numRef>
          </c:val>
        </c:ser>
        <c:ser>
          <c:idx val="2"/>
          <c:order val="2"/>
          <c:tx>
            <c:strRef>
              <c:f>'(8)'!$B$8</c:f>
              <c:strCache>
                <c:ptCount val="1"/>
                <c:pt idx="0">
                  <c:v>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'(8)'!$C$8:$E$8</c:f>
              <c:numCache>
                <c:ptCount val="3"/>
                <c:pt idx="0">
                  <c:v>0</c:v>
                </c:pt>
                <c:pt idx="1">
                  <c:v>0</c:v>
                </c:pt>
                <c:pt idx="2">
                  <c:v>0</c:v>
                </c:pt>
              </c:numCache>
            </c:numRef>
          </c:val>
        </c:ser>
        <c:ser>
          <c:idx val="3"/>
          <c:order val="3"/>
          <c:tx>
            <c:strRef>
              <c:f>'(8)'!$B$9</c:f>
              <c:strCache>
                <c:ptCount val="1"/>
                <c:pt idx="0">
                  <c:v>2002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'(8)'!$C$9:$E$9</c:f>
              <c:numCache>
                <c:ptCount val="3"/>
                <c:pt idx="0">
                  <c:v>0</c:v>
                </c:pt>
                <c:pt idx="1">
                  <c:v>0</c:v>
                </c:pt>
                <c:pt idx="2">
                  <c:v>0</c:v>
                </c:pt>
              </c:numCache>
            </c:numRef>
          </c:val>
        </c:ser>
        <c:ser>
          <c:idx val="4"/>
          <c:order val="4"/>
          <c:tx>
            <c:strRef>
              <c:f>'(8)'!$B$10</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'(8)'!$C$10:$E$10</c:f>
              <c:numCache>
                <c:ptCount val="3"/>
                <c:pt idx="0">
                  <c:v>0</c:v>
                </c:pt>
                <c:pt idx="1">
                  <c:v>0</c:v>
                </c:pt>
                <c:pt idx="2">
                  <c:v>0</c:v>
                </c:pt>
              </c:numCache>
            </c:numRef>
          </c:val>
        </c:ser>
        <c:ser>
          <c:idx val="5"/>
          <c:order val="5"/>
          <c:tx>
            <c:strRef>
              <c:f>'(8)'!$B$11</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'(8)'!$C$11:$E$11</c:f>
              <c:numCache>
                <c:ptCount val="3"/>
                <c:pt idx="0">
                  <c:v>0</c:v>
                </c:pt>
                <c:pt idx="1">
                  <c:v>0</c:v>
                </c:pt>
                <c:pt idx="2">
                  <c:v>0</c:v>
                </c:pt>
              </c:numCache>
            </c:numRef>
          </c:val>
        </c:ser>
        <c:ser>
          <c:idx val="6"/>
          <c:order val="6"/>
          <c:tx>
            <c:strRef>
              <c:f>'(8)'!$B$12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'(8)'!$C$5:$E$5</c:f>
              <c:strCache/>
            </c:strRef>
          </c:cat>
          <c:val>
            <c:numRef>
              <c:f>'(8)'!$C$12:$E$12</c:f>
              <c:numCache>
                <c:ptCount val="3"/>
                <c:pt idx="0">
                  <c:v>0</c:v>
                </c:pt>
                <c:pt idx="1">
                  <c:v>0</c:v>
                </c:pt>
                <c:pt idx="2">
                  <c:v>0</c:v>
                </c:pt>
              </c:numCache>
            </c:numRef>
          </c:val>
        </c:ser>
        <c:axId val="2509068"/>
        <c:axId val="22581613"/>
      </c:barChart>
      <c:catAx>
        <c:axId val="2509068"/>
        <c:scaling>
          <c:orientation val="minMax"/>
        </c:scaling>
        <c:axPos val="b"/>
        <c:delete val="0"/>
        <c:numFmt formatCode="General" sourceLinked="1"/>
        <c:majorTickMark val="out"/>
        <c:minorTickMark val="none"/>
        <c:tickLblPos val="nextTo"/>
        <c:txPr>
          <a:bodyPr/>
          <a:lstStyle/>
          <a:p>
            <a:pPr>
              <a:defRPr lang="en-US" cap="none" sz="825" b="1" i="0" u="none" baseline="0">
                <a:latin typeface="Arial Tur"/>
                <a:ea typeface="Arial Tur"/>
                <a:cs typeface="Arial Tur"/>
              </a:defRPr>
            </a:pPr>
          </a:p>
        </c:txPr>
        <c:crossAx val="22581613"/>
        <c:crosses val="autoZero"/>
        <c:auto val="1"/>
        <c:lblOffset val="100"/>
        <c:noMultiLvlLbl val="0"/>
      </c:catAx>
      <c:valAx>
        <c:axId val="22581613"/>
        <c:scaling>
          <c:orientation val="minMax"/>
        </c:scaling>
        <c:axPos val="l"/>
        <c:title>
          <c:tx>
            <c:rich>
              <a:bodyPr vert="horz" rot="0" anchor="ctr"/>
              <a:lstStyle/>
              <a:p>
                <a:pPr algn="ctr">
                  <a:defRPr/>
                </a:pPr>
                <a:r>
                  <a:rPr lang="en-US" cap="none" sz="875" b="1" i="0" u="none" baseline="0">
                    <a:latin typeface="Arial Tur"/>
                    <a:ea typeface="Arial Tur"/>
                    <a:cs typeface="Arial Tur"/>
                  </a:rPr>
                  <a:t>(MİLYAR TL.)</a:t>
                </a:r>
              </a:p>
            </c:rich>
          </c:tx>
          <c:layout>
            <c:manualLayout>
              <c:xMode val="factor"/>
              <c:yMode val="factor"/>
              <c:x val="0.074"/>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Tur"/>
                <a:ea typeface="Arial Tur"/>
                <a:cs typeface="Arial Tur"/>
              </a:defRPr>
            </a:pPr>
          </a:p>
        </c:txPr>
        <c:crossAx val="2509068"/>
        <c:crossesAt val="1"/>
        <c:crossBetween val="between"/>
        <c:dispUnits/>
        <c:majorUnit val="500000"/>
        <c:minorUnit val="100000"/>
      </c:valAx>
      <c:spPr>
        <a:solidFill>
          <a:srgbClr val="C0C0C0"/>
        </a:solidFill>
        <a:ln w="12700">
          <a:solidFill/>
        </a:ln>
      </c:spPr>
    </c:plotArea>
    <c:legend>
      <c:legendPos val="b"/>
      <c:layout>
        <c:manualLayout>
          <c:xMode val="edge"/>
          <c:yMode val="edge"/>
          <c:x val="0"/>
          <c:y val="0.934"/>
          <c:w val="0.8425"/>
          <c:h val="0.0525"/>
        </c:manualLayout>
      </c:layout>
      <c:overlay val="0"/>
      <c:txPr>
        <a:bodyPr vert="horz" rot="0"/>
        <a:lstStyle/>
        <a:p>
          <a:pPr>
            <a:defRPr lang="en-US" cap="none" sz="1000" b="1" i="0" u="none" baseline="0">
              <a:latin typeface="Arial Tur"/>
              <a:ea typeface="Arial Tur"/>
              <a:cs typeface="Arial Tur"/>
            </a:defRPr>
          </a:pPr>
        </a:p>
      </c:txPr>
    </c:legend>
    <c:plotVisOnly val="1"/>
    <c:dispBlanksAs val="gap"/>
    <c:showDLblsOverMax val="0"/>
  </c:chart>
  <c:spPr>
    <a:ln w="25400">
      <a:solidFill/>
    </a:ln>
  </c:spPr>
  <c:txPr>
    <a:bodyPr vert="horz" rot="0"/>
    <a:lstStyle/>
    <a:p>
      <a:pPr>
        <a:defRPr lang="en-US" cap="none" sz="1200" b="0" i="0" u="none" baseline="0">
          <a:latin typeface="Arial Tur"/>
          <a:ea typeface="Arial Tur"/>
          <a:cs typeface="Arial Tu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Tur"/>
                <a:ea typeface="Arial Tur"/>
                <a:cs typeface="Arial Tur"/>
              </a:rPr>
              <a:t>GRAFİK 9 - Prim Tahakkuk ve Tahsilatları
</a:t>
            </a:r>
          </a:p>
        </c:rich>
      </c:tx>
      <c:layout>
        <c:manualLayout>
          <c:xMode val="factor"/>
          <c:yMode val="factor"/>
          <c:x val="-0.0155"/>
          <c:y val="0.00525"/>
        </c:manualLayout>
      </c:layout>
      <c:spPr>
        <a:noFill/>
        <a:ln>
          <a:noFill/>
        </a:ln>
      </c:spPr>
    </c:title>
    <c:plotArea>
      <c:layout>
        <c:manualLayout>
          <c:xMode val="edge"/>
          <c:yMode val="edge"/>
          <c:x val="0.01625"/>
          <c:y val="0.15425"/>
          <c:w val="0.92825"/>
          <c:h val="0.6275"/>
        </c:manualLayout>
      </c:layout>
      <c:lineChart>
        <c:grouping val="standard"/>
        <c:varyColors val="0"/>
        <c:ser>
          <c:idx val="0"/>
          <c:order val="0"/>
          <c:tx>
            <c:strRef>
              <c:f>'(9)'!$B$6</c:f>
              <c:strCache>
                <c:ptCount val="1"/>
                <c:pt idx="0">
                  <c:v>TAHAKKUK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1"/>
            <c:showBubbleSize val="0"/>
            <c:showCatName val="0"/>
            <c:showSerName val="0"/>
            <c:showLeaderLines val="1"/>
            <c:showPercent val="0"/>
          </c:dLbls>
          <c:cat>
            <c:numRef>
              <c:f>'(9)'!$A$7:$A$19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'(9)'!$B$7:$B$19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'(9)'!$C$6</c:f>
              <c:strCache>
                <c:ptCount val="1"/>
                <c:pt idx="0">
                  <c:v>TAHSİLAT</c:v>
                </c:pt>
              </c:strCache>
            </c:strRef>
          </c:tx>
          <c:spPr>
            <a:ln w="25400">
              <a:solidFill>
                <a:srgbClr val="0033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FF00FF"/>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1" i="0" u="none" baseline="0">
                      <a:latin typeface="Arial Tur"/>
                      <a:ea typeface="Arial Tur"/>
                      <a:cs typeface="Arial Tu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Tur"/>
                    <a:ea typeface="Arial Tur"/>
                    <a:cs typeface="Arial Tur"/>
                  </a:defRPr>
                </a:pPr>
              </a:p>
            </c:txPr>
            <c:showLegendKey val="0"/>
            <c:showVal val="1"/>
            <c:showBubbleSize val="0"/>
            <c:showCatName val="0"/>
            <c:showSerName val="0"/>
            <c:showLeaderLines val="1"/>
            <c:showPercent val="0"/>
          </c:dLbls>
          <c:cat>
            <c:numRef>
              <c:f>'(9)'!$A$7:$A$19</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'(9)'!$C$7:$C$19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907926"/>
        <c:axId val="17171335"/>
      </c:lineChart>
      <c:catAx>
        <c:axId val="1907926"/>
        <c:scaling>
          <c:orientation val="minMax"/>
        </c:scaling>
        <c:axPos val="b"/>
        <c:title>
          <c:tx>
            <c:rich>
              <a:bodyPr vert="horz" rot="0" anchor="ctr"/>
              <a:lstStyle/>
              <a:p>
                <a:pPr algn="ctr">
                  <a:defRPr/>
                </a:pPr>
                <a:r>
                  <a:rPr lang="en-US" cap="none" sz="800" b="1" i="0" u="none" baseline="0">
                    <a:latin typeface="Arial Tur"/>
                    <a:ea typeface="Arial Tur"/>
                    <a:cs typeface="Arial Tur"/>
                  </a:rPr>
                  <a:t>(TRİLYON TL.)</a:t>
                </a:r>
              </a:p>
            </c:rich>
          </c:tx>
          <c:layout>
            <c:manualLayout>
              <c:xMode val="factor"/>
              <c:yMode val="factor"/>
              <c:x val="0.26625"/>
              <c:y val="-0.118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1" i="0" u="none" baseline="0">
                <a:latin typeface="Arial Tur"/>
                <a:ea typeface="Arial Tur"/>
                <a:cs typeface="Arial Tur"/>
              </a:defRPr>
            </a:pPr>
          </a:p>
        </c:txPr>
        <c:crossAx val="17171335"/>
        <c:crosses val="autoZero"/>
        <c:auto val="1"/>
        <c:lblOffset val="100"/>
        <c:noMultiLvlLbl val="0"/>
      </c:catAx>
      <c:valAx>
        <c:axId val="1717133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latin typeface="Arial Tur"/>
                <a:ea typeface="Arial Tur"/>
                <a:cs typeface="Arial Tur"/>
              </a:defRPr>
            </a:pPr>
          </a:p>
        </c:txPr>
        <c:crossAx val="1907926"/>
        <c:crossesAt val="1"/>
        <c:crossBetween val="between"/>
        <c:dispUnits/>
      </c:valAx>
      <c:spPr>
        <a:solidFill>
          <a:srgbClr val="FFFFFF"/>
        </a:solidFill>
        <a:ln w="12700">
          <a:solidFill/>
        </a:ln>
      </c:spPr>
    </c:plotArea>
    <c:legend>
      <c:legendPos val="b"/>
      <c:layout>
        <c:manualLayout>
          <c:xMode val="edge"/>
          <c:yMode val="edge"/>
          <c:x val="0"/>
          <c:y val="0.90225"/>
          <c:w val="0.90075"/>
          <c:h val="0.07875"/>
        </c:manualLayout>
      </c:layout>
      <c:overlay val="0"/>
    </c:legend>
    <c:plotVisOnly val="1"/>
    <c:dispBlanksAs val="gap"/>
    <c:showDLblsOverMax val="0"/>
  </c:chart>
  <c:spPr>
    <a:ln w="25400">
      <a:solidFill/>
    </a:ln>
  </c:spPr>
  <c:txPr>
    <a:bodyPr vert="horz" rot="0"/>
    <a:lstStyle/>
    <a:p>
      <a:pPr>
        <a:defRPr lang="en-US" cap="none" sz="1150" b="0" i="0" u="none" baseline="0">
          <a:latin typeface="Arial Tur"/>
          <a:ea typeface="Arial Tur"/>
          <a:cs typeface="Arial Tur"/>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0</xdr:colOff>
      <xdr:row>0</xdr:row>
      <xdr:rowOff>9525</xdr:rowOff>
    </xdr:to>
    <xdr:sp>
      <xdr:nvSpPr>
        <xdr:cNvPr id="1" name="Line 2"/>
        <xdr:cNvSpPr>
          <a:spLocks/>
        </xdr:cNvSpPr>
      </xdr:nvSpPr>
      <xdr:spPr>
        <a:xfrm>
          <a:off x="9525" y="9525"/>
          <a:ext cx="5553075" cy="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0</xdr:colOff>
      <xdr:row>0</xdr:row>
      <xdr:rowOff>0</xdr:rowOff>
    </xdr:from>
    <xdr:to>
      <xdr:col>0</xdr:col>
      <xdr:colOff>9525</xdr:colOff>
      <xdr:row>34</xdr:row>
      <xdr:rowOff>142875</xdr:rowOff>
    </xdr:to>
    <xdr:sp>
      <xdr:nvSpPr>
        <xdr:cNvPr id="2" name="Line 5"/>
        <xdr:cNvSpPr>
          <a:spLocks/>
        </xdr:cNvSpPr>
      </xdr:nvSpPr>
      <xdr:spPr>
        <a:xfrm flipH="1" flipV="1">
          <a:off x="0" y="0"/>
          <a:ext cx="9525" cy="84391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704850</xdr:colOff>
      <xdr:row>0</xdr:row>
      <xdr:rowOff>28575</xdr:rowOff>
    </xdr:from>
    <xdr:to>
      <xdr:col>7</xdr:col>
      <xdr:colOff>704850</xdr:colOff>
      <xdr:row>34</xdr:row>
      <xdr:rowOff>133350</xdr:rowOff>
    </xdr:to>
    <xdr:sp>
      <xdr:nvSpPr>
        <xdr:cNvPr id="3" name="Line 7"/>
        <xdr:cNvSpPr>
          <a:spLocks/>
        </xdr:cNvSpPr>
      </xdr:nvSpPr>
      <xdr:spPr>
        <a:xfrm flipH="1">
          <a:off x="5505450" y="28575"/>
          <a:ext cx="0" cy="8401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19050</xdr:colOff>
      <xdr:row>34</xdr:row>
      <xdr:rowOff>85725</xdr:rowOff>
    </xdr:from>
    <xdr:to>
      <xdr:col>7</xdr:col>
      <xdr:colOff>762000</xdr:colOff>
      <xdr:row>34</xdr:row>
      <xdr:rowOff>85725</xdr:rowOff>
    </xdr:to>
    <xdr:sp>
      <xdr:nvSpPr>
        <xdr:cNvPr id="4" name="Line 8"/>
        <xdr:cNvSpPr>
          <a:spLocks/>
        </xdr:cNvSpPr>
      </xdr:nvSpPr>
      <xdr:spPr>
        <a:xfrm>
          <a:off x="19050" y="8382000"/>
          <a:ext cx="5543550" cy="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142875</xdr:rowOff>
    </xdr:from>
    <xdr:to>
      <xdr:col>11</xdr:col>
      <xdr:colOff>609600</xdr:colOff>
      <xdr:row>16</xdr:row>
      <xdr:rowOff>152400</xdr:rowOff>
    </xdr:to>
    <xdr:graphicFrame>
      <xdr:nvGraphicFramePr>
        <xdr:cNvPr id="1" name="Chart 3"/>
        <xdr:cNvGraphicFramePr/>
      </xdr:nvGraphicFramePr>
      <xdr:xfrm>
        <a:off x="5467350" y="504825"/>
        <a:ext cx="4667250" cy="240030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0</xdr:rowOff>
    </xdr:from>
    <xdr:to>
      <xdr:col>11</xdr:col>
      <xdr:colOff>600075</xdr:colOff>
      <xdr:row>32</xdr:row>
      <xdr:rowOff>142875</xdr:rowOff>
    </xdr:to>
    <xdr:graphicFrame>
      <xdr:nvGraphicFramePr>
        <xdr:cNvPr id="2" name="Chart 4"/>
        <xdr:cNvGraphicFramePr/>
      </xdr:nvGraphicFramePr>
      <xdr:xfrm>
        <a:off x="5495925" y="3219450"/>
        <a:ext cx="4629150" cy="2381250"/>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57150</xdr:colOff>
      <xdr:row>2</xdr:row>
      <xdr:rowOff>142875</xdr:rowOff>
    </xdr:from>
    <xdr:to>
      <xdr:col>11</xdr:col>
      <xdr:colOff>609600</xdr:colOff>
      <xdr:row>16</xdr:row>
      <xdr:rowOff>152400</xdr:rowOff>
    </xdr:to>
    <xdr:graphicFrame>
      <xdr:nvGraphicFramePr>
        <xdr:cNvPr id="3" name="Chart 5"/>
        <xdr:cNvGraphicFramePr/>
      </xdr:nvGraphicFramePr>
      <xdr:xfrm>
        <a:off x="5467350" y="504825"/>
        <a:ext cx="4667250" cy="2400300"/>
      </xdr:xfrm>
      <a:graphic>
        <a:graphicData uri="http://schemas.openxmlformats.org/drawingml/2006/chart">
          <c:chart xmlns:c="http://schemas.openxmlformats.org/drawingml/2006/chart" r:id="rId3"/>
        </a:graphicData>
      </a:graphic>
    </xdr:graphicFrame>
    <xdr:clientData/>
  </xdr:twoCellAnchor>
  <xdr:twoCellAnchor>
    <xdr:from>
      <xdr:col>5</xdr:col>
      <xdr:colOff>85725</xdr:colOff>
      <xdr:row>19</xdr:row>
      <xdr:rowOff>0</xdr:rowOff>
    </xdr:from>
    <xdr:to>
      <xdr:col>11</xdr:col>
      <xdr:colOff>600075</xdr:colOff>
      <xdr:row>32</xdr:row>
      <xdr:rowOff>142875</xdr:rowOff>
    </xdr:to>
    <xdr:graphicFrame>
      <xdr:nvGraphicFramePr>
        <xdr:cNvPr id="4" name="Chart 6"/>
        <xdr:cNvGraphicFramePr/>
      </xdr:nvGraphicFramePr>
      <xdr:xfrm>
        <a:off x="5495925" y="3219450"/>
        <a:ext cx="4629150" cy="2381250"/>
      </xdr:xfrm>
      <a:graphic>
        <a:graphicData uri="http://schemas.openxmlformats.org/drawingml/2006/chart">
          <c:chart xmlns:c="http://schemas.openxmlformats.org/drawingml/2006/chart" r:id="rId4"/>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142875</xdr:rowOff>
    </xdr:from>
    <xdr:to>
      <xdr:col>11</xdr:col>
      <xdr:colOff>609600</xdr:colOff>
      <xdr:row>16</xdr:row>
      <xdr:rowOff>152400</xdr:rowOff>
    </xdr:to>
    <xdr:graphicFrame>
      <xdr:nvGraphicFramePr>
        <xdr:cNvPr id="1" name="Chart 1"/>
        <xdr:cNvGraphicFramePr/>
      </xdr:nvGraphicFramePr>
      <xdr:xfrm>
        <a:off x="5467350" y="504825"/>
        <a:ext cx="4667250" cy="240030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0</xdr:rowOff>
    </xdr:from>
    <xdr:to>
      <xdr:col>11</xdr:col>
      <xdr:colOff>600075</xdr:colOff>
      <xdr:row>32</xdr:row>
      <xdr:rowOff>142875</xdr:rowOff>
    </xdr:to>
    <xdr:graphicFrame>
      <xdr:nvGraphicFramePr>
        <xdr:cNvPr id="2" name="Chart 2"/>
        <xdr:cNvGraphicFramePr/>
      </xdr:nvGraphicFramePr>
      <xdr:xfrm>
        <a:off x="5495925" y="3219450"/>
        <a:ext cx="4629150" cy="2381250"/>
      </xdr:xfrm>
      <a:graphic>
        <a:graphicData uri="http://schemas.openxmlformats.org/drawingml/2006/chart">
          <c:chart xmlns:c="http://schemas.openxmlformats.org/drawingml/2006/chart" r:id="rId2"/>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13</xdr:row>
      <xdr:rowOff>190500</xdr:rowOff>
    </xdr:from>
    <xdr:to>
      <xdr:col>11</xdr:col>
      <xdr:colOff>66675</xdr:colOff>
      <xdr:row>29</xdr:row>
      <xdr:rowOff>9525</xdr:rowOff>
    </xdr:to>
    <xdr:graphicFrame>
      <xdr:nvGraphicFramePr>
        <xdr:cNvPr id="1" name="Chart 2"/>
        <xdr:cNvGraphicFramePr/>
      </xdr:nvGraphicFramePr>
      <xdr:xfrm>
        <a:off x="2486025" y="3838575"/>
        <a:ext cx="9525000" cy="2609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142875</xdr:rowOff>
    </xdr:from>
    <xdr:to>
      <xdr:col>8</xdr:col>
      <xdr:colOff>466725</xdr:colOff>
      <xdr:row>25</xdr:row>
      <xdr:rowOff>57150</xdr:rowOff>
    </xdr:to>
    <xdr:graphicFrame>
      <xdr:nvGraphicFramePr>
        <xdr:cNvPr id="1" name="Chart 7"/>
        <xdr:cNvGraphicFramePr/>
      </xdr:nvGraphicFramePr>
      <xdr:xfrm>
        <a:off x="0" y="2781300"/>
        <a:ext cx="6715125" cy="23526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36</xdr:row>
      <xdr:rowOff>76200</xdr:rowOff>
    </xdr:from>
    <xdr:to>
      <xdr:col>7</xdr:col>
      <xdr:colOff>409575</xdr:colOff>
      <xdr:row>50</xdr:row>
      <xdr:rowOff>66675</xdr:rowOff>
    </xdr:to>
    <xdr:graphicFrame>
      <xdr:nvGraphicFramePr>
        <xdr:cNvPr id="2" name="Chart 9"/>
        <xdr:cNvGraphicFramePr/>
      </xdr:nvGraphicFramePr>
      <xdr:xfrm>
        <a:off x="28575" y="7848600"/>
        <a:ext cx="5934075" cy="22860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57150</xdr:rowOff>
    </xdr:from>
    <xdr:to>
      <xdr:col>4</xdr:col>
      <xdr:colOff>647700</xdr:colOff>
      <xdr:row>100</xdr:row>
      <xdr:rowOff>76200</xdr:rowOff>
    </xdr:to>
    <xdr:graphicFrame>
      <xdr:nvGraphicFramePr>
        <xdr:cNvPr id="1" name="Chart 3"/>
        <xdr:cNvGraphicFramePr/>
      </xdr:nvGraphicFramePr>
      <xdr:xfrm>
        <a:off x="0" y="5162550"/>
        <a:ext cx="5791200" cy="5019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38100</xdr:rowOff>
    </xdr:from>
    <xdr:to>
      <xdr:col>9</xdr:col>
      <xdr:colOff>504825</xdr:colOff>
      <xdr:row>31</xdr:row>
      <xdr:rowOff>76200</xdr:rowOff>
    </xdr:to>
    <xdr:graphicFrame>
      <xdr:nvGraphicFramePr>
        <xdr:cNvPr id="1" name="Chart 4"/>
        <xdr:cNvGraphicFramePr/>
      </xdr:nvGraphicFramePr>
      <xdr:xfrm>
        <a:off x="9525" y="4095750"/>
        <a:ext cx="9163050" cy="19812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xdr:row>
      <xdr:rowOff>133350</xdr:rowOff>
    </xdr:from>
    <xdr:to>
      <xdr:col>11</xdr:col>
      <xdr:colOff>609600</xdr:colOff>
      <xdr:row>18</xdr:row>
      <xdr:rowOff>247650</xdr:rowOff>
    </xdr:to>
    <xdr:graphicFrame>
      <xdr:nvGraphicFramePr>
        <xdr:cNvPr id="1" name="Chart 1"/>
        <xdr:cNvGraphicFramePr/>
      </xdr:nvGraphicFramePr>
      <xdr:xfrm>
        <a:off x="6810375" y="304800"/>
        <a:ext cx="3305175" cy="268605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20</xdr:row>
      <xdr:rowOff>133350</xdr:rowOff>
    </xdr:from>
    <xdr:to>
      <xdr:col>11</xdr:col>
      <xdr:colOff>647700</xdr:colOff>
      <xdr:row>33</xdr:row>
      <xdr:rowOff>76200</xdr:rowOff>
    </xdr:to>
    <xdr:graphicFrame>
      <xdr:nvGraphicFramePr>
        <xdr:cNvPr id="2" name="Chart 11"/>
        <xdr:cNvGraphicFramePr/>
      </xdr:nvGraphicFramePr>
      <xdr:xfrm>
        <a:off x="5962650" y="3495675"/>
        <a:ext cx="4191000" cy="2581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6</xdr:row>
      <xdr:rowOff>161925</xdr:rowOff>
    </xdr:from>
    <xdr:to>
      <xdr:col>7</xdr:col>
      <xdr:colOff>533400</xdr:colOff>
      <xdr:row>11</xdr:row>
      <xdr:rowOff>0</xdr:rowOff>
    </xdr:to>
    <xdr:sp>
      <xdr:nvSpPr>
        <xdr:cNvPr id="1" name="Line 120"/>
        <xdr:cNvSpPr>
          <a:spLocks/>
        </xdr:cNvSpPr>
      </xdr:nvSpPr>
      <xdr:spPr>
        <a:xfrm>
          <a:off x="6457950" y="125730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1095375</xdr:colOff>
      <xdr:row>8</xdr:row>
      <xdr:rowOff>76200</xdr:rowOff>
    </xdr:from>
    <xdr:to>
      <xdr:col>7</xdr:col>
      <xdr:colOff>581025</xdr:colOff>
      <xdr:row>8</xdr:row>
      <xdr:rowOff>76200</xdr:rowOff>
    </xdr:to>
    <xdr:sp>
      <xdr:nvSpPr>
        <xdr:cNvPr id="2" name="Line 121"/>
        <xdr:cNvSpPr>
          <a:spLocks/>
        </xdr:cNvSpPr>
      </xdr:nvSpPr>
      <xdr:spPr>
        <a:xfrm flipH="1">
          <a:off x="3600450" y="150495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8</xdr:row>
      <xdr:rowOff>76200</xdr:rowOff>
    </xdr:from>
    <xdr:to>
      <xdr:col>11</xdr:col>
      <xdr:colOff>0</xdr:colOff>
      <xdr:row>8</xdr:row>
      <xdr:rowOff>76200</xdr:rowOff>
    </xdr:to>
    <xdr:sp>
      <xdr:nvSpPr>
        <xdr:cNvPr id="3" name="Line 122"/>
        <xdr:cNvSpPr>
          <a:spLocks/>
        </xdr:cNvSpPr>
      </xdr:nvSpPr>
      <xdr:spPr>
        <a:xfrm>
          <a:off x="6496050" y="15049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11</xdr:row>
      <xdr:rowOff>0</xdr:rowOff>
    </xdr:from>
    <xdr:to>
      <xdr:col>7</xdr:col>
      <xdr:colOff>590550</xdr:colOff>
      <xdr:row>11</xdr:row>
      <xdr:rowOff>0</xdr:rowOff>
    </xdr:to>
    <xdr:sp>
      <xdr:nvSpPr>
        <xdr:cNvPr id="4" name="Line 123"/>
        <xdr:cNvSpPr>
          <a:spLocks/>
        </xdr:cNvSpPr>
      </xdr:nvSpPr>
      <xdr:spPr>
        <a:xfrm flipH="1">
          <a:off x="3067050" y="1924050"/>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590550</xdr:colOff>
      <xdr:row>10</xdr:row>
      <xdr:rowOff>152400</xdr:rowOff>
    </xdr:from>
    <xdr:to>
      <xdr:col>13</xdr:col>
      <xdr:colOff>676275</xdr:colOff>
      <xdr:row>10</xdr:row>
      <xdr:rowOff>152400</xdr:rowOff>
    </xdr:to>
    <xdr:sp>
      <xdr:nvSpPr>
        <xdr:cNvPr id="5" name="Line 124"/>
        <xdr:cNvSpPr>
          <a:spLocks/>
        </xdr:cNvSpPr>
      </xdr:nvSpPr>
      <xdr:spPr>
        <a:xfrm>
          <a:off x="6515100" y="1914525"/>
          <a:ext cx="410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581025</xdr:colOff>
      <xdr:row>11</xdr:row>
      <xdr:rowOff>0</xdr:rowOff>
    </xdr:from>
    <xdr:to>
      <xdr:col>3</xdr:col>
      <xdr:colOff>581025</xdr:colOff>
      <xdr:row>11</xdr:row>
      <xdr:rowOff>152400</xdr:rowOff>
    </xdr:to>
    <xdr:sp>
      <xdr:nvSpPr>
        <xdr:cNvPr id="6" name="Line 125"/>
        <xdr:cNvSpPr>
          <a:spLocks/>
        </xdr:cNvSpPr>
      </xdr:nvSpPr>
      <xdr:spPr>
        <a:xfrm>
          <a:off x="3086100" y="19240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657225</xdr:colOff>
      <xdr:row>10</xdr:row>
      <xdr:rowOff>142875</xdr:rowOff>
    </xdr:from>
    <xdr:to>
      <xdr:col>13</xdr:col>
      <xdr:colOff>657225</xdr:colOff>
      <xdr:row>11</xdr:row>
      <xdr:rowOff>161925</xdr:rowOff>
    </xdr:to>
    <xdr:sp>
      <xdr:nvSpPr>
        <xdr:cNvPr id="7" name="Line 126"/>
        <xdr:cNvSpPr>
          <a:spLocks/>
        </xdr:cNvSpPr>
      </xdr:nvSpPr>
      <xdr:spPr>
        <a:xfrm>
          <a:off x="10601325" y="19050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14</xdr:row>
      <xdr:rowOff>9525</xdr:rowOff>
    </xdr:from>
    <xdr:to>
      <xdr:col>3</xdr:col>
      <xdr:colOff>523875</xdr:colOff>
      <xdr:row>15</xdr:row>
      <xdr:rowOff>9525</xdr:rowOff>
    </xdr:to>
    <xdr:sp>
      <xdr:nvSpPr>
        <xdr:cNvPr id="8" name="Line 127"/>
        <xdr:cNvSpPr>
          <a:spLocks/>
        </xdr:cNvSpPr>
      </xdr:nvSpPr>
      <xdr:spPr>
        <a:xfrm>
          <a:off x="3028950" y="2438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14</xdr:row>
      <xdr:rowOff>0</xdr:rowOff>
    </xdr:from>
    <xdr:to>
      <xdr:col>13</xdr:col>
      <xdr:colOff>561975</xdr:colOff>
      <xdr:row>14</xdr:row>
      <xdr:rowOff>161925</xdr:rowOff>
    </xdr:to>
    <xdr:sp>
      <xdr:nvSpPr>
        <xdr:cNvPr id="9" name="Line 128"/>
        <xdr:cNvSpPr>
          <a:spLocks/>
        </xdr:cNvSpPr>
      </xdr:nvSpPr>
      <xdr:spPr>
        <a:xfrm>
          <a:off x="10506075" y="24288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15</xdr:row>
      <xdr:rowOff>161925</xdr:rowOff>
    </xdr:from>
    <xdr:to>
      <xdr:col>3</xdr:col>
      <xdr:colOff>523875</xdr:colOff>
      <xdr:row>20</xdr:row>
      <xdr:rowOff>9525</xdr:rowOff>
    </xdr:to>
    <xdr:sp>
      <xdr:nvSpPr>
        <xdr:cNvPr id="10" name="Line 129"/>
        <xdr:cNvSpPr>
          <a:spLocks/>
        </xdr:cNvSpPr>
      </xdr:nvSpPr>
      <xdr:spPr>
        <a:xfrm>
          <a:off x="3028950" y="27622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295275</xdr:colOff>
      <xdr:row>19</xdr:row>
      <xdr:rowOff>9525</xdr:rowOff>
    </xdr:from>
    <xdr:to>
      <xdr:col>3</xdr:col>
      <xdr:colOff>561975</xdr:colOff>
      <xdr:row>19</xdr:row>
      <xdr:rowOff>9525</xdr:rowOff>
    </xdr:to>
    <xdr:sp>
      <xdr:nvSpPr>
        <xdr:cNvPr id="11" name="Line 130"/>
        <xdr:cNvSpPr>
          <a:spLocks/>
        </xdr:cNvSpPr>
      </xdr:nvSpPr>
      <xdr:spPr>
        <a:xfrm flipH="1">
          <a:off x="295275" y="3286125"/>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19</xdr:row>
      <xdr:rowOff>9525</xdr:rowOff>
    </xdr:from>
    <xdr:to>
      <xdr:col>0</xdr:col>
      <xdr:colOff>276225</xdr:colOff>
      <xdr:row>19</xdr:row>
      <xdr:rowOff>161925</xdr:rowOff>
    </xdr:to>
    <xdr:sp>
      <xdr:nvSpPr>
        <xdr:cNvPr id="12" name="Line 131"/>
        <xdr:cNvSpPr>
          <a:spLocks/>
        </xdr:cNvSpPr>
      </xdr:nvSpPr>
      <xdr:spPr>
        <a:xfrm>
          <a:off x="276225" y="32861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19</xdr:row>
      <xdr:rowOff>28575</xdr:rowOff>
    </xdr:from>
    <xdr:to>
      <xdr:col>6</xdr:col>
      <xdr:colOff>333375</xdr:colOff>
      <xdr:row>19</xdr:row>
      <xdr:rowOff>152400</xdr:rowOff>
    </xdr:to>
    <xdr:sp>
      <xdr:nvSpPr>
        <xdr:cNvPr id="13" name="Line 132"/>
        <xdr:cNvSpPr>
          <a:spLocks/>
        </xdr:cNvSpPr>
      </xdr:nvSpPr>
      <xdr:spPr>
        <a:xfrm>
          <a:off x="5476875" y="330517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21</xdr:row>
      <xdr:rowOff>161925</xdr:rowOff>
    </xdr:from>
    <xdr:to>
      <xdr:col>0</xdr:col>
      <xdr:colOff>285750</xdr:colOff>
      <xdr:row>41</xdr:row>
      <xdr:rowOff>76200</xdr:rowOff>
    </xdr:to>
    <xdr:sp>
      <xdr:nvSpPr>
        <xdr:cNvPr id="14" name="Line 133"/>
        <xdr:cNvSpPr>
          <a:spLocks/>
        </xdr:cNvSpPr>
      </xdr:nvSpPr>
      <xdr:spPr>
        <a:xfrm>
          <a:off x="276225" y="3771900"/>
          <a:ext cx="9525"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238125</xdr:colOff>
      <xdr:row>23</xdr:row>
      <xdr:rowOff>76200</xdr:rowOff>
    </xdr:from>
    <xdr:to>
      <xdr:col>0</xdr:col>
      <xdr:colOff>876300</xdr:colOff>
      <xdr:row>23</xdr:row>
      <xdr:rowOff>76200</xdr:rowOff>
    </xdr:to>
    <xdr:sp>
      <xdr:nvSpPr>
        <xdr:cNvPr id="15" name="Line 134"/>
        <xdr:cNvSpPr>
          <a:spLocks/>
        </xdr:cNvSpPr>
      </xdr:nvSpPr>
      <xdr:spPr>
        <a:xfrm>
          <a:off x="238125" y="40290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276225</xdr:colOff>
      <xdr:row>26</xdr:row>
      <xdr:rowOff>76200</xdr:rowOff>
    </xdr:from>
    <xdr:to>
      <xdr:col>1</xdr:col>
      <xdr:colOff>0</xdr:colOff>
      <xdr:row>26</xdr:row>
      <xdr:rowOff>76200</xdr:rowOff>
    </xdr:to>
    <xdr:sp>
      <xdr:nvSpPr>
        <xdr:cNvPr id="16" name="Line 135"/>
        <xdr:cNvSpPr>
          <a:spLocks/>
        </xdr:cNvSpPr>
      </xdr:nvSpPr>
      <xdr:spPr>
        <a:xfrm>
          <a:off x="276225" y="454342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28</xdr:row>
      <xdr:rowOff>123825</xdr:rowOff>
    </xdr:from>
    <xdr:to>
      <xdr:col>1</xdr:col>
      <xdr:colOff>0</xdr:colOff>
      <xdr:row>28</xdr:row>
      <xdr:rowOff>123825</xdr:rowOff>
    </xdr:to>
    <xdr:sp>
      <xdr:nvSpPr>
        <xdr:cNvPr id="17" name="Line 136"/>
        <xdr:cNvSpPr>
          <a:spLocks/>
        </xdr:cNvSpPr>
      </xdr:nvSpPr>
      <xdr:spPr>
        <a:xfrm>
          <a:off x="285750" y="49339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22</xdr:row>
      <xdr:rowOff>0</xdr:rowOff>
    </xdr:from>
    <xdr:to>
      <xdr:col>3</xdr:col>
      <xdr:colOff>523875</xdr:colOff>
      <xdr:row>41</xdr:row>
      <xdr:rowOff>0</xdr:rowOff>
    </xdr:to>
    <xdr:sp>
      <xdr:nvSpPr>
        <xdr:cNvPr id="18" name="Line 137"/>
        <xdr:cNvSpPr>
          <a:spLocks/>
        </xdr:cNvSpPr>
      </xdr:nvSpPr>
      <xdr:spPr>
        <a:xfrm>
          <a:off x="3028950" y="3781425"/>
          <a:ext cx="0" cy="3276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23</xdr:row>
      <xdr:rowOff>76200</xdr:rowOff>
    </xdr:from>
    <xdr:to>
      <xdr:col>4</xdr:col>
      <xdr:colOff>0</xdr:colOff>
      <xdr:row>23</xdr:row>
      <xdr:rowOff>76200</xdr:rowOff>
    </xdr:to>
    <xdr:sp>
      <xdr:nvSpPr>
        <xdr:cNvPr id="19" name="Line 138"/>
        <xdr:cNvSpPr>
          <a:spLocks/>
        </xdr:cNvSpPr>
      </xdr:nvSpPr>
      <xdr:spPr>
        <a:xfrm flipV="1">
          <a:off x="3028950" y="40290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523875</xdr:colOff>
      <xdr:row>27</xdr:row>
      <xdr:rowOff>0</xdr:rowOff>
    </xdr:from>
    <xdr:to>
      <xdr:col>4</xdr:col>
      <xdr:colOff>0</xdr:colOff>
      <xdr:row>27</xdr:row>
      <xdr:rowOff>0</xdr:rowOff>
    </xdr:to>
    <xdr:sp>
      <xdr:nvSpPr>
        <xdr:cNvPr id="20" name="Line 139"/>
        <xdr:cNvSpPr>
          <a:spLocks/>
        </xdr:cNvSpPr>
      </xdr:nvSpPr>
      <xdr:spPr>
        <a:xfrm flipV="1">
          <a:off x="3028950" y="46386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390525</xdr:colOff>
      <xdr:row>21</xdr:row>
      <xdr:rowOff>161925</xdr:rowOff>
    </xdr:from>
    <xdr:to>
      <xdr:col>6</xdr:col>
      <xdr:colOff>400050</xdr:colOff>
      <xdr:row>41</xdr:row>
      <xdr:rowOff>95250</xdr:rowOff>
    </xdr:to>
    <xdr:sp>
      <xdr:nvSpPr>
        <xdr:cNvPr id="21" name="Line 140"/>
        <xdr:cNvSpPr>
          <a:spLocks/>
        </xdr:cNvSpPr>
      </xdr:nvSpPr>
      <xdr:spPr>
        <a:xfrm flipH="1">
          <a:off x="5534025" y="3771900"/>
          <a:ext cx="9525" cy="3381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381000</xdr:colOff>
      <xdr:row>23</xdr:row>
      <xdr:rowOff>85725</xdr:rowOff>
    </xdr:from>
    <xdr:to>
      <xdr:col>7</xdr:col>
      <xdr:colOff>0</xdr:colOff>
      <xdr:row>23</xdr:row>
      <xdr:rowOff>85725</xdr:rowOff>
    </xdr:to>
    <xdr:sp>
      <xdr:nvSpPr>
        <xdr:cNvPr id="22" name="Line 141"/>
        <xdr:cNvSpPr>
          <a:spLocks/>
        </xdr:cNvSpPr>
      </xdr:nvSpPr>
      <xdr:spPr>
        <a:xfrm flipV="1">
          <a:off x="5524500" y="40386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428625</xdr:colOff>
      <xdr:row>22</xdr:row>
      <xdr:rowOff>0</xdr:rowOff>
    </xdr:from>
    <xdr:to>
      <xdr:col>10</xdr:col>
      <xdr:colOff>428625</xdr:colOff>
      <xdr:row>41</xdr:row>
      <xdr:rowOff>123825</xdr:rowOff>
    </xdr:to>
    <xdr:sp>
      <xdr:nvSpPr>
        <xdr:cNvPr id="23" name="Line 142"/>
        <xdr:cNvSpPr>
          <a:spLocks/>
        </xdr:cNvSpPr>
      </xdr:nvSpPr>
      <xdr:spPr>
        <a:xfrm>
          <a:off x="7781925" y="3781425"/>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24</xdr:row>
      <xdr:rowOff>66675</xdr:rowOff>
    </xdr:from>
    <xdr:to>
      <xdr:col>10</xdr:col>
      <xdr:colOff>800100</xdr:colOff>
      <xdr:row>24</xdr:row>
      <xdr:rowOff>66675</xdr:rowOff>
    </xdr:to>
    <xdr:sp>
      <xdr:nvSpPr>
        <xdr:cNvPr id="24" name="Line 143"/>
        <xdr:cNvSpPr>
          <a:spLocks/>
        </xdr:cNvSpPr>
      </xdr:nvSpPr>
      <xdr:spPr>
        <a:xfrm>
          <a:off x="7791450" y="41910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438150</xdr:colOff>
      <xdr:row>28</xdr:row>
      <xdr:rowOff>123825</xdr:rowOff>
    </xdr:from>
    <xdr:to>
      <xdr:col>11</xdr:col>
      <xdr:colOff>0</xdr:colOff>
      <xdr:row>28</xdr:row>
      <xdr:rowOff>123825</xdr:rowOff>
    </xdr:to>
    <xdr:sp>
      <xdr:nvSpPr>
        <xdr:cNvPr id="25" name="Line 144"/>
        <xdr:cNvSpPr>
          <a:spLocks/>
        </xdr:cNvSpPr>
      </xdr:nvSpPr>
      <xdr:spPr>
        <a:xfrm>
          <a:off x="7791450" y="4933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15</xdr:row>
      <xdr:rowOff>161925</xdr:rowOff>
    </xdr:from>
    <xdr:to>
      <xdr:col>13</xdr:col>
      <xdr:colOff>561975</xdr:colOff>
      <xdr:row>20</xdr:row>
      <xdr:rowOff>9525</xdr:rowOff>
    </xdr:to>
    <xdr:sp>
      <xdr:nvSpPr>
        <xdr:cNvPr id="26" name="Line 145"/>
        <xdr:cNvSpPr>
          <a:spLocks/>
        </xdr:cNvSpPr>
      </xdr:nvSpPr>
      <xdr:spPr>
        <a:xfrm>
          <a:off x="10506075" y="27622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13</xdr:col>
      <xdr:colOff>571500</xdr:colOff>
      <xdr:row>19</xdr:row>
      <xdr:rowOff>0</xdr:rowOff>
    </xdr:to>
    <xdr:sp>
      <xdr:nvSpPr>
        <xdr:cNvPr id="27" name="Line 146"/>
        <xdr:cNvSpPr>
          <a:spLocks/>
        </xdr:cNvSpPr>
      </xdr:nvSpPr>
      <xdr:spPr>
        <a:xfrm flipH="1">
          <a:off x="7810500" y="3276600"/>
          <a:ext cx="270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457200</xdr:colOff>
      <xdr:row>19</xdr:row>
      <xdr:rowOff>0</xdr:rowOff>
    </xdr:from>
    <xdr:to>
      <xdr:col>10</xdr:col>
      <xdr:colOff>457200</xdr:colOff>
      <xdr:row>20</xdr:row>
      <xdr:rowOff>0</xdr:rowOff>
    </xdr:to>
    <xdr:sp>
      <xdr:nvSpPr>
        <xdr:cNvPr id="28" name="Line 147"/>
        <xdr:cNvSpPr>
          <a:spLocks/>
        </xdr:cNvSpPr>
      </xdr:nvSpPr>
      <xdr:spPr>
        <a:xfrm>
          <a:off x="7810500" y="32766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19</xdr:row>
      <xdr:rowOff>0</xdr:rowOff>
    </xdr:from>
    <xdr:to>
      <xdr:col>15</xdr:col>
      <xdr:colOff>342900</xdr:colOff>
      <xdr:row>19</xdr:row>
      <xdr:rowOff>9525</xdr:rowOff>
    </xdr:to>
    <xdr:sp>
      <xdr:nvSpPr>
        <xdr:cNvPr id="29" name="Line 148"/>
        <xdr:cNvSpPr>
          <a:spLocks/>
        </xdr:cNvSpPr>
      </xdr:nvSpPr>
      <xdr:spPr>
        <a:xfrm>
          <a:off x="10506075" y="32766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361950</xdr:colOff>
      <xdr:row>19</xdr:row>
      <xdr:rowOff>0</xdr:rowOff>
    </xdr:from>
    <xdr:to>
      <xdr:col>15</xdr:col>
      <xdr:colOff>361950</xdr:colOff>
      <xdr:row>20</xdr:row>
      <xdr:rowOff>9525</xdr:rowOff>
    </xdr:to>
    <xdr:sp>
      <xdr:nvSpPr>
        <xdr:cNvPr id="30" name="Line 149"/>
        <xdr:cNvSpPr>
          <a:spLocks/>
        </xdr:cNvSpPr>
      </xdr:nvSpPr>
      <xdr:spPr>
        <a:xfrm>
          <a:off x="12677775" y="32766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571500</xdr:colOff>
      <xdr:row>21</xdr:row>
      <xdr:rowOff>152400</xdr:rowOff>
    </xdr:from>
    <xdr:to>
      <xdr:col>13</xdr:col>
      <xdr:colOff>600075</xdr:colOff>
      <xdr:row>41</xdr:row>
      <xdr:rowOff>0</xdr:rowOff>
    </xdr:to>
    <xdr:sp>
      <xdr:nvSpPr>
        <xdr:cNvPr id="31" name="Line 150"/>
        <xdr:cNvSpPr>
          <a:spLocks/>
        </xdr:cNvSpPr>
      </xdr:nvSpPr>
      <xdr:spPr>
        <a:xfrm>
          <a:off x="10515600" y="3762375"/>
          <a:ext cx="1905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552450</xdr:colOff>
      <xdr:row>23</xdr:row>
      <xdr:rowOff>85725</xdr:rowOff>
    </xdr:from>
    <xdr:to>
      <xdr:col>14</xdr:col>
      <xdr:colOff>0</xdr:colOff>
      <xdr:row>23</xdr:row>
      <xdr:rowOff>85725</xdr:rowOff>
    </xdr:to>
    <xdr:sp>
      <xdr:nvSpPr>
        <xdr:cNvPr id="32" name="Line 151"/>
        <xdr:cNvSpPr>
          <a:spLocks/>
        </xdr:cNvSpPr>
      </xdr:nvSpPr>
      <xdr:spPr>
        <a:xfrm>
          <a:off x="10496550" y="40386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23</xdr:row>
      <xdr:rowOff>66675</xdr:rowOff>
    </xdr:from>
    <xdr:to>
      <xdr:col>15</xdr:col>
      <xdr:colOff>695325</xdr:colOff>
      <xdr:row>23</xdr:row>
      <xdr:rowOff>66675</xdr:rowOff>
    </xdr:to>
    <xdr:sp>
      <xdr:nvSpPr>
        <xdr:cNvPr id="33" name="Line 152"/>
        <xdr:cNvSpPr>
          <a:spLocks/>
        </xdr:cNvSpPr>
      </xdr:nvSpPr>
      <xdr:spPr>
        <a:xfrm>
          <a:off x="12658725" y="40195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333375</xdr:colOff>
      <xdr:row>22</xdr:row>
      <xdr:rowOff>9525</xdr:rowOff>
    </xdr:from>
    <xdr:to>
      <xdr:col>15</xdr:col>
      <xdr:colOff>371475</xdr:colOff>
      <xdr:row>41</xdr:row>
      <xdr:rowOff>123825</xdr:rowOff>
    </xdr:to>
    <xdr:sp>
      <xdr:nvSpPr>
        <xdr:cNvPr id="34" name="Line 153"/>
        <xdr:cNvSpPr>
          <a:spLocks/>
        </xdr:cNvSpPr>
      </xdr:nvSpPr>
      <xdr:spPr>
        <a:xfrm flipH="1">
          <a:off x="12649200" y="3790950"/>
          <a:ext cx="28575"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561975</xdr:colOff>
      <xdr:row>18</xdr:row>
      <xdr:rowOff>9525</xdr:rowOff>
    </xdr:from>
    <xdr:to>
      <xdr:col>14</xdr:col>
      <xdr:colOff>9525</xdr:colOff>
      <xdr:row>18</xdr:row>
      <xdr:rowOff>9525</xdr:rowOff>
    </xdr:to>
    <xdr:sp>
      <xdr:nvSpPr>
        <xdr:cNvPr id="35" name="Line 154"/>
        <xdr:cNvSpPr>
          <a:spLocks/>
        </xdr:cNvSpPr>
      </xdr:nvSpPr>
      <xdr:spPr>
        <a:xfrm>
          <a:off x="10506075" y="31146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342900</xdr:colOff>
      <xdr:row>26</xdr:row>
      <xdr:rowOff>142875</xdr:rowOff>
    </xdr:from>
    <xdr:to>
      <xdr:col>16</xdr:col>
      <xdr:colOff>0</xdr:colOff>
      <xdr:row>26</xdr:row>
      <xdr:rowOff>142875</xdr:rowOff>
    </xdr:to>
    <xdr:sp>
      <xdr:nvSpPr>
        <xdr:cNvPr id="36" name="Line 155"/>
        <xdr:cNvSpPr>
          <a:spLocks/>
        </xdr:cNvSpPr>
      </xdr:nvSpPr>
      <xdr:spPr>
        <a:xfrm>
          <a:off x="12658725" y="46101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561975</xdr:colOff>
      <xdr:row>19</xdr:row>
      <xdr:rowOff>9525</xdr:rowOff>
    </xdr:from>
    <xdr:to>
      <xdr:col>6</xdr:col>
      <xdr:colOff>333375</xdr:colOff>
      <xdr:row>19</xdr:row>
      <xdr:rowOff>9525</xdr:rowOff>
    </xdr:to>
    <xdr:sp>
      <xdr:nvSpPr>
        <xdr:cNvPr id="37" name="Line 156"/>
        <xdr:cNvSpPr>
          <a:spLocks/>
        </xdr:cNvSpPr>
      </xdr:nvSpPr>
      <xdr:spPr>
        <a:xfrm>
          <a:off x="3067050" y="328612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571500</xdr:colOff>
      <xdr:row>2</xdr:row>
      <xdr:rowOff>161925</xdr:rowOff>
    </xdr:from>
    <xdr:to>
      <xdr:col>7</xdr:col>
      <xdr:colOff>571500</xdr:colOff>
      <xdr:row>4</xdr:row>
      <xdr:rowOff>0</xdr:rowOff>
    </xdr:to>
    <xdr:sp>
      <xdr:nvSpPr>
        <xdr:cNvPr id="38" name="Line 157"/>
        <xdr:cNvSpPr>
          <a:spLocks/>
        </xdr:cNvSpPr>
      </xdr:nvSpPr>
      <xdr:spPr>
        <a:xfrm>
          <a:off x="6496050" y="5715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542925</xdr:colOff>
      <xdr:row>4</xdr:row>
      <xdr:rowOff>161925</xdr:rowOff>
    </xdr:from>
    <xdr:to>
      <xdr:col>7</xdr:col>
      <xdr:colOff>542925</xdr:colOff>
      <xdr:row>5</xdr:row>
      <xdr:rowOff>161925</xdr:rowOff>
    </xdr:to>
    <xdr:sp>
      <xdr:nvSpPr>
        <xdr:cNvPr id="39" name="Line 158"/>
        <xdr:cNvSpPr>
          <a:spLocks/>
        </xdr:cNvSpPr>
      </xdr:nvSpPr>
      <xdr:spPr>
        <a:xfrm>
          <a:off x="6467475" y="914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9525</xdr:colOff>
      <xdr:row>41</xdr:row>
      <xdr:rowOff>76200</xdr:rowOff>
    </xdr:from>
    <xdr:to>
      <xdr:col>6</xdr:col>
      <xdr:colOff>381000</xdr:colOff>
      <xdr:row>41</xdr:row>
      <xdr:rowOff>85725</xdr:rowOff>
    </xdr:to>
    <xdr:sp>
      <xdr:nvSpPr>
        <xdr:cNvPr id="40" name="Line 159"/>
        <xdr:cNvSpPr>
          <a:spLocks/>
        </xdr:cNvSpPr>
      </xdr:nvSpPr>
      <xdr:spPr>
        <a:xfrm flipH="1">
          <a:off x="3609975" y="7134225"/>
          <a:ext cx="1914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419100</xdr:colOff>
      <xdr:row>41</xdr:row>
      <xdr:rowOff>104775</xdr:rowOff>
    </xdr:from>
    <xdr:to>
      <xdr:col>13</xdr:col>
      <xdr:colOff>0</xdr:colOff>
      <xdr:row>41</xdr:row>
      <xdr:rowOff>104775</xdr:rowOff>
    </xdr:to>
    <xdr:sp>
      <xdr:nvSpPr>
        <xdr:cNvPr id="41" name="Line 160"/>
        <xdr:cNvSpPr>
          <a:spLocks/>
        </xdr:cNvSpPr>
      </xdr:nvSpPr>
      <xdr:spPr>
        <a:xfrm>
          <a:off x="7772400" y="7162800"/>
          <a:ext cx="2171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9525</xdr:colOff>
      <xdr:row>41</xdr:row>
      <xdr:rowOff>114300</xdr:rowOff>
    </xdr:from>
    <xdr:to>
      <xdr:col>15</xdr:col>
      <xdr:colOff>323850</xdr:colOff>
      <xdr:row>41</xdr:row>
      <xdr:rowOff>114300</xdr:rowOff>
    </xdr:to>
    <xdr:sp>
      <xdr:nvSpPr>
        <xdr:cNvPr id="42" name="Line 161"/>
        <xdr:cNvSpPr>
          <a:spLocks/>
        </xdr:cNvSpPr>
      </xdr:nvSpPr>
      <xdr:spPr>
        <a:xfrm flipH="1">
          <a:off x="11125200" y="71723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1285875</xdr:colOff>
      <xdr:row>15</xdr:row>
      <xdr:rowOff>85725</xdr:rowOff>
    </xdr:from>
    <xdr:to>
      <xdr:col>3</xdr:col>
      <xdr:colOff>0</xdr:colOff>
      <xdr:row>15</xdr:row>
      <xdr:rowOff>85725</xdr:rowOff>
    </xdr:to>
    <xdr:sp>
      <xdr:nvSpPr>
        <xdr:cNvPr id="43" name="Line 162"/>
        <xdr:cNvSpPr>
          <a:spLocks/>
        </xdr:cNvSpPr>
      </xdr:nvSpPr>
      <xdr:spPr>
        <a:xfrm flipH="1" flipV="1">
          <a:off x="2190750" y="26860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0</xdr:col>
      <xdr:colOff>285750</xdr:colOff>
      <xdr:row>41</xdr:row>
      <xdr:rowOff>66675</xdr:rowOff>
    </xdr:from>
    <xdr:to>
      <xdr:col>2</xdr:col>
      <xdr:colOff>9525</xdr:colOff>
      <xdr:row>41</xdr:row>
      <xdr:rowOff>76200</xdr:rowOff>
    </xdr:to>
    <xdr:sp>
      <xdr:nvSpPr>
        <xdr:cNvPr id="44" name="Line 165"/>
        <xdr:cNvSpPr>
          <a:spLocks/>
        </xdr:cNvSpPr>
      </xdr:nvSpPr>
      <xdr:spPr>
        <a:xfrm>
          <a:off x="285750" y="7124700"/>
          <a:ext cx="1933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123825</xdr:rowOff>
    </xdr:from>
    <xdr:to>
      <xdr:col>7</xdr:col>
      <xdr:colOff>666750</xdr:colOff>
      <xdr:row>22</xdr:row>
      <xdr:rowOff>0</xdr:rowOff>
    </xdr:to>
    <xdr:graphicFrame>
      <xdr:nvGraphicFramePr>
        <xdr:cNvPr id="1" name="Chart 1"/>
        <xdr:cNvGraphicFramePr/>
      </xdr:nvGraphicFramePr>
      <xdr:xfrm>
        <a:off x="19050" y="2362200"/>
        <a:ext cx="7105650" cy="22669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22</xdr:row>
      <xdr:rowOff>0</xdr:rowOff>
    </xdr:from>
    <xdr:to>
      <xdr:col>7</xdr:col>
      <xdr:colOff>666750</xdr:colOff>
      <xdr:row>22</xdr:row>
      <xdr:rowOff>0</xdr:rowOff>
    </xdr:to>
    <xdr:graphicFrame>
      <xdr:nvGraphicFramePr>
        <xdr:cNvPr id="2" name="Chart 3"/>
        <xdr:cNvGraphicFramePr/>
      </xdr:nvGraphicFramePr>
      <xdr:xfrm>
        <a:off x="28575" y="4629150"/>
        <a:ext cx="70961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209550</xdr:rowOff>
    </xdr:from>
    <xdr:to>
      <xdr:col>7</xdr:col>
      <xdr:colOff>647700</xdr:colOff>
      <xdr:row>46</xdr:row>
      <xdr:rowOff>85725</xdr:rowOff>
    </xdr:to>
    <xdr:graphicFrame>
      <xdr:nvGraphicFramePr>
        <xdr:cNvPr id="3" name="Chart 4"/>
        <xdr:cNvGraphicFramePr/>
      </xdr:nvGraphicFramePr>
      <xdr:xfrm>
        <a:off x="0" y="7429500"/>
        <a:ext cx="7105650" cy="20859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38100</xdr:rowOff>
    </xdr:from>
    <xdr:to>
      <xdr:col>6</xdr:col>
      <xdr:colOff>76200</xdr:colOff>
      <xdr:row>27</xdr:row>
      <xdr:rowOff>133350</xdr:rowOff>
    </xdr:to>
    <xdr:graphicFrame>
      <xdr:nvGraphicFramePr>
        <xdr:cNvPr id="1" name="Chart 2"/>
        <xdr:cNvGraphicFramePr/>
      </xdr:nvGraphicFramePr>
      <xdr:xfrm>
        <a:off x="9525" y="2181225"/>
        <a:ext cx="5276850" cy="2686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19050</xdr:rowOff>
    </xdr:from>
    <xdr:to>
      <xdr:col>6</xdr:col>
      <xdr:colOff>133350</xdr:colOff>
      <xdr:row>46</xdr:row>
      <xdr:rowOff>123825</xdr:rowOff>
    </xdr:to>
    <xdr:graphicFrame>
      <xdr:nvGraphicFramePr>
        <xdr:cNvPr id="2" name="Chart 3"/>
        <xdr:cNvGraphicFramePr/>
      </xdr:nvGraphicFramePr>
      <xdr:xfrm>
        <a:off x="19050" y="5238750"/>
        <a:ext cx="5324475" cy="26955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85725</xdr:rowOff>
    </xdr:from>
    <xdr:to>
      <xdr:col>3</xdr:col>
      <xdr:colOff>1866900</xdr:colOff>
      <xdr:row>46</xdr:row>
      <xdr:rowOff>9525</xdr:rowOff>
    </xdr:to>
    <xdr:graphicFrame>
      <xdr:nvGraphicFramePr>
        <xdr:cNvPr id="1" name="Chart 1"/>
        <xdr:cNvGraphicFramePr/>
      </xdr:nvGraphicFramePr>
      <xdr:xfrm>
        <a:off x="0" y="2933700"/>
        <a:ext cx="5657850" cy="5429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28</xdr:row>
      <xdr:rowOff>9525</xdr:rowOff>
    </xdr:from>
    <xdr:to>
      <xdr:col>8</xdr:col>
      <xdr:colOff>1219200</xdr:colOff>
      <xdr:row>38</xdr:row>
      <xdr:rowOff>114300</xdr:rowOff>
    </xdr:to>
    <xdr:graphicFrame>
      <xdr:nvGraphicFramePr>
        <xdr:cNvPr id="1" name="Chart 4"/>
        <xdr:cNvGraphicFramePr/>
      </xdr:nvGraphicFramePr>
      <xdr:xfrm>
        <a:off x="47625" y="4933950"/>
        <a:ext cx="8905875" cy="1743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14</xdr:row>
      <xdr:rowOff>19050</xdr:rowOff>
    </xdr:from>
    <xdr:to>
      <xdr:col>7</xdr:col>
      <xdr:colOff>485775</xdr:colOff>
      <xdr:row>40</xdr:row>
      <xdr:rowOff>76200</xdr:rowOff>
    </xdr:to>
    <xdr:graphicFrame>
      <xdr:nvGraphicFramePr>
        <xdr:cNvPr id="1" name="Chart 3"/>
        <xdr:cNvGraphicFramePr/>
      </xdr:nvGraphicFramePr>
      <xdr:xfrm>
        <a:off x="66675" y="4752975"/>
        <a:ext cx="6219825" cy="4267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28575</xdr:rowOff>
    </xdr:from>
    <xdr:to>
      <xdr:col>7</xdr:col>
      <xdr:colOff>371475</xdr:colOff>
      <xdr:row>40</xdr:row>
      <xdr:rowOff>57150</xdr:rowOff>
    </xdr:to>
    <xdr:graphicFrame>
      <xdr:nvGraphicFramePr>
        <xdr:cNvPr id="1" name="Chart 1"/>
        <xdr:cNvGraphicFramePr/>
      </xdr:nvGraphicFramePr>
      <xdr:xfrm>
        <a:off x="0" y="5857875"/>
        <a:ext cx="6134100" cy="3105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17</xdr:row>
      <xdr:rowOff>457200</xdr:rowOff>
    </xdr:from>
    <xdr:to>
      <xdr:col>6</xdr:col>
      <xdr:colOff>171450</xdr:colOff>
      <xdr:row>33</xdr:row>
      <xdr:rowOff>95250</xdr:rowOff>
    </xdr:to>
    <xdr:graphicFrame>
      <xdr:nvGraphicFramePr>
        <xdr:cNvPr id="1" name="Chart 1"/>
        <xdr:cNvGraphicFramePr/>
      </xdr:nvGraphicFramePr>
      <xdr:xfrm>
        <a:off x="523875" y="4800600"/>
        <a:ext cx="661987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H34"/>
  <sheetViews>
    <sheetView showGridLines="0" workbookViewId="0" topLeftCell="A16">
      <selection activeCell="A34" sqref="A34"/>
    </sheetView>
  </sheetViews>
  <sheetFormatPr defaultColWidth="9.00390625" defaultRowHeight="12.75"/>
  <cols>
    <col min="8" max="8" width="10.00390625" style="0" customWidth="1"/>
  </cols>
  <sheetData>
    <row r="3" spans="1:8" ht="20.25">
      <c r="A3" s="597" t="s">
        <v>160</v>
      </c>
      <c r="B3" s="597"/>
      <c r="C3" s="597"/>
      <c r="D3" s="597"/>
      <c r="E3" s="597"/>
      <c r="F3" s="597"/>
      <c r="G3" s="597"/>
      <c r="H3" s="597"/>
    </row>
    <row r="6" spans="1:8" ht="20.25">
      <c r="A6" s="597" t="s">
        <v>161</v>
      </c>
      <c r="B6" s="597"/>
      <c r="C6" s="597"/>
      <c r="D6" s="597"/>
      <c r="E6" s="597"/>
      <c r="F6" s="597"/>
      <c r="G6" s="597"/>
      <c r="H6" s="597"/>
    </row>
    <row r="11" spans="1:8" ht="20.25">
      <c r="A11" s="102"/>
      <c r="B11" s="102"/>
      <c r="C11" s="102"/>
      <c r="D11" s="102"/>
      <c r="E11" s="102"/>
      <c r="F11" s="102"/>
      <c r="G11" s="102"/>
      <c r="H11" s="102"/>
    </row>
    <row r="13" spans="1:8" ht="26.25">
      <c r="A13" s="103"/>
      <c r="B13" s="103"/>
      <c r="C13" s="103"/>
      <c r="D13" s="103"/>
      <c r="E13" s="103"/>
      <c r="F13" s="103"/>
      <c r="G13" s="103"/>
      <c r="H13" s="103"/>
    </row>
    <row r="14" spans="1:8" ht="26.25">
      <c r="A14" s="103"/>
      <c r="B14" s="103"/>
      <c r="C14" s="103"/>
      <c r="D14" s="103"/>
      <c r="E14" s="103"/>
      <c r="F14" s="103"/>
      <c r="G14" s="103"/>
      <c r="H14" s="103"/>
    </row>
    <row r="15" spans="1:8" ht="26.25">
      <c r="A15" s="103"/>
      <c r="B15" s="103"/>
      <c r="C15" s="103"/>
      <c r="D15" s="103"/>
      <c r="E15" s="103"/>
      <c r="F15" s="103"/>
      <c r="G15" s="103"/>
      <c r="H15" s="103"/>
    </row>
    <row r="16" spans="1:8" ht="26.25">
      <c r="A16" s="103"/>
      <c r="B16" s="103"/>
      <c r="C16" s="103"/>
      <c r="D16" s="103"/>
      <c r="E16" s="103"/>
      <c r="F16" s="103"/>
      <c r="G16" s="103"/>
      <c r="H16" s="103"/>
    </row>
    <row r="17" spans="1:8" ht="26.25">
      <c r="A17" s="598" t="s">
        <v>162</v>
      </c>
      <c r="B17" s="598"/>
      <c r="C17" s="598"/>
      <c r="D17" s="598"/>
      <c r="E17" s="598"/>
      <c r="F17" s="598"/>
      <c r="G17" s="598"/>
      <c r="H17" s="598"/>
    </row>
    <row r="18" spans="1:8" ht="26.25">
      <c r="A18" s="103"/>
      <c r="B18" s="103"/>
      <c r="C18" s="103"/>
      <c r="D18" s="103"/>
      <c r="E18" s="103"/>
      <c r="F18" s="103"/>
      <c r="G18" s="103"/>
      <c r="H18" s="103"/>
    </row>
    <row r="19" spans="1:8" ht="26.25">
      <c r="A19" s="103"/>
      <c r="B19" s="103"/>
      <c r="C19" s="103"/>
      <c r="D19" s="103"/>
      <c r="E19" s="103"/>
      <c r="F19" s="103"/>
      <c r="G19" s="103"/>
      <c r="H19" s="103"/>
    </row>
    <row r="20" spans="1:8" ht="26.25">
      <c r="A20" s="103"/>
      <c r="B20" s="103"/>
      <c r="C20" s="103"/>
      <c r="D20" s="103"/>
      <c r="E20" s="103"/>
      <c r="F20" s="103"/>
      <c r="G20" s="103"/>
      <c r="H20" s="103"/>
    </row>
    <row r="21" spans="1:8" ht="26.25">
      <c r="A21" s="103"/>
      <c r="B21" s="103"/>
      <c r="C21" s="103"/>
      <c r="D21" s="103"/>
      <c r="E21" s="103"/>
      <c r="F21" s="103"/>
      <c r="G21" s="103"/>
      <c r="H21" s="103"/>
    </row>
    <row r="22" spans="1:8" ht="26.25">
      <c r="A22" s="601" t="s">
        <v>273</v>
      </c>
      <c r="B22" s="601"/>
      <c r="C22" s="601"/>
      <c r="D22" s="601"/>
      <c r="E22" s="601"/>
      <c r="F22" s="601"/>
      <c r="G22" s="601"/>
      <c r="H22" s="601"/>
    </row>
    <row r="23" spans="1:8" ht="26.25">
      <c r="A23" s="103"/>
      <c r="B23" s="103"/>
      <c r="C23" s="103"/>
      <c r="D23" s="103"/>
      <c r="E23" s="103"/>
      <c r="F23" s="103"/>
      <c r="G23" s="103"/>
      <c r="H23" s="103"/>
    </row>
    <row r="24" spans="1:8" ht="26.25">
      <c r="A24" s="103"/>
      <c r="B24" s="103"/>
      <c r="C24" s="103"/>
      <c r="D24" s="103"/>
      <c r="E24" s="103"/>
      <c r="F24" s="103"/>
      <c r="G24" s="103"/>
      <c r="H24" s="103"/>
    </row>
    <row r="25" spans="1:8" ht="26.25">
      <c r="A25" s="103"/>
      <c r="B25" s="103"/>
      <c r="C25" s="103"/>
      <c r="D25" s="103"/>
      <c r="E25" s="103"/>
      <c r="F25" s="103"/>
      <c r="G25" s="103"/>
      <c r="H25" s="103"/>
    </row>
    <row r="26" spans="1:8" ht="26.25">
      <c r="A26" s="103"/>
      <c r="B26" s="103"/>
      <c r="C26" s="103"/>
      <c r="D26" s="103"/>
      <c r="E26" s="103"/>
      <c r="F26" s="103"/>
      <c r="G26" s="103"/>
      <c r="H26" s="103"/>
    </row>
    <row r="27" spans="1:8" ht="15">
      <c r="A27" s="602" t="s">
        <v>329</v>
      </c>
      <c r="B27" s="603"/>
      <c r="C27" s="603"/>
      <c r="D27" s="603"/>
      <c r="E27" s="603"/>
      <c r="F27" s="603"/>
      <c r="G27" s="603"/>
      <c r="H27" s="603"/>
    </row>
    <row r="29" ht="4.5" customHeight="1"/>
    <row r="30" ht="2.25" customHeight="1"/>
    <row r="31" spans="1:8" ht="12.75">
      <c r="A31" s="604" t="s">
        <v>357</v>
      </c>
      <c r="B31" s="605"/>
      <c r="C31" s="605"/>
      <c r="D31" s="605"/>
      <c r="E31" s="605"/>
      <c r="F31" s="605"/>
      <c r="G31" s="605"/>
      <c r="H31" s="605"/>
    </row>
    <row r="32" spans="1:8" ht="14.25" customHeight="1">
      <c r="A32" s="605"/>
      <c r="B32" s="605"/>
      <c r="C32" s="605"/>
      <c r="D32" s="605"/>
      <c r="E32" s="605"/>
      <c r="F32" s="605"/>
      <c r="G32" s="605"/>
      <c r="H32" s="605"/>
    </row>
    <row r="33" spans="1:8" ht="36" customHeight="1">
      <c r="A33" s="599" t="s">
        <v>441</v>
      </c>
      <c r="B33" s="600"/>
      <c r="C33" s="600"/>
      <c r="D33" s="600"/>
      <c r="E33" s="600"/>
      <c r="F33" s="600"/>
      <c r="G33" s="600"/>
      <c r="H33" s="600"/>
    </row>
    <row r="34" ht="12.75">
      <c r="D34" s="445" t="s">
        <v>0</v>
      </c>
    </row>
  </sheetData>
  <mergeCells count="7">
    <mergeCell ref="A3:H3"/>
    <mergeCell ref="A6:H6"/>
    <mergeCell ref="A17:H17"/>
    <mergeCell ref="A33:H33"/>
    <mergeCell ref="A22:H22"/>
    <mergeCell ref="A27:H27"/>
    <mergeCell ref="A31:H32"/>
  </mergeCells>
  <printOptions horizontalCentered="1" verticalCentered="1"/>
  <pageMargins left="1.35" right="0.984251968503937" top="0.7480314960629921" bottom="0.7480314960629921" header="0.5118110236220472" footer="0.5118110236220472"/>
  <pageSetup fitToHeight="1" fitToWidth="1" horizontalDpi="300" verticalDpi="300" orientation="portrait" paperSize="9" scale="93" r:id="rId4"/>
  <drawing r:id="rId3"/>
  <legacyDrawing r:id="rId2"/>
  <oleObjects>
    <oleObject progId="PBrush" shapeId="1284026" r:id="rId1"/>
  </oleObjects>
</worksheet>
</file>

<file path=xl/worksheets/sheet10.xml><?xml version="1.0" encoding="utf-8"?>
<worksheet xmlns="http://schemas.openxmlformats.org/spreadsheetml/2006/main" xmlns:r="http://schemas.openxmlformats.org/officeDocument/2006/relationships">
  <dimension ref="A1:M21"/>
  <sheetViews>
    <sheetView showGridLines="0" workbookViewId="0" topLeftCell="A4">
      <selection activeCell="F44" sqref="F44"/>
    </sheetView>
  </sheetViews>
  <sheetFormatPr defaultColWidth="9.00390625" defaultRowHeight="12.75"/>
  <cols>
    <col min="1" max="1" width="2.375" style="0" customWidth="1"/>
    <col min="3" max="3" width="12.25390625" style="0" customWidth="1"/>
    <col min="4" max="4" width="12.375" style="0" bestFit="1" customWidth="1"/>
    <col min="5" max="5" width="14.625" style="0" customWidth="1"/>
    <col min="6" max="6" width="13.125" style="0" customWidth="1"/>
    <col min="7" max="7" width="12.375" style="0" customWidth="1"/>
    <col min="11" max="11" width="12.125" style="560" customWidth="1"/>
    <col min="12" max="12" width="11.125" style="560" bestFit="1" customWidth="1"/>
  </cols>
  <sheetData>
    <row r="1" spans="1:8" ht="14.25">
      <c r="A1" s="656" t="s">
        <v>177</v>
      </c>
      <c r="B1" s="656"/>
      <c r="C1" s="656"/>
      <c r="D1" s="656"/>
      <c r="E1" s="656"/>
      <c r="F1" s="656"/>
      <c r="G1" s="625"/>
      <c r="H1" s="625"/>
    </row>
    <row r="2" spans="1:8" ht="16.5" customHeight="1">
      <c r="A2" s="657" t="s">
        <v>232</v>
      </c>
      <c r="B2" s="625"/>
      <c r="C2" s="625"/>
      <c r="D2" s="625"/>
      <c r="E2" s="625"/>
      <c r="F2" s="625"/>
      <c r="G2" s="625"/>
      <c r="H2" s="625"/>
    </row>
    <row r="3" spans="1:8" ht="13.5" customHeight="1">
      <c r="A3" s="657" t="s">
        <v>279</v>
      </c>
      <c r="B3" s="657"/>
      <c r="C3" s="657"/>
      <c r="D3" s="657"/>
      <c r="E3" s="657"/>
      <c r="F3" s="607"/>
      <c r="G3" s="625"/>
      <c r="H3" s="625"/>
    </row>
    <row r="4" spans="1:11" ht="26.25" customHeight="1" thickBot="1">
      <c r="A4" s="112"/>
      <c r="B4" s="119" t="s">
        <v>466</v>
      </c>
      <c r="C4" s="112"/>
      <c r="D4" s="112"/>
      <c r="E4" s="112"/>
      <c r="F4" s="112"/>
      <c r="K4" s="560" t="s">
        <v>427</v>
      </c>
    </row>
    <row r="5" spans="2:13" ht="55.5" customHeight="1">
      <c r="B5" s="395" t="s">
        <v>44</v>
      </c>
      <c r="C5" s="396" t="s">
        <v>340</v>
      </c>
      <c r="D5" s="396" t="s">
        <v>178</v>
      </c>
      <c r="E5" s="402" t="s">
        <v>179</v>
      </c>
      <c r="F5" s="397" t="s">
        <v>8</v>
      </c>
      <c r="G5" s="417" t="s">
        <v>353</v>
      </c>
      <c r="H5" s="417" t="s">
        <v>354</v>
      </c>
      <c r="K5" s="573" t="s">
        <v>428</v>
      </c>
      <c r="L5" s="560" t="s">
        <v>426</v>
      </c>
      <c r="M5" s="574"/>
    </row>
    <row r="6" spans="2:13" ht="21.75" customHeight="1">
      <c r="B6" s="115">
        <v>1999</v>
      </c>
      <c r="C6" s="116">
        <v>1111000</v>
      </c>
      <c r="D6" s="116">
        <v>796145</v>
      </c>
      <c r="E6" s="400">
        <v>1035000</v>
      </c>
      <c r="F6" s="403">
        <f aca="true" t="shared" si="0" ref="F6:F11">SUM(C6:E6)</f>
        <v>2942145</v>
      </c>
      <c r="G6" s="419">
        <f aca="true" t="shared" si="1" ref="G6:G12">+(F6/K6)*100</f>
        <v>10.47597649751101</v>
      </c>
      <c r="H6" s="419">
        <f aca="true" t="shared" si="2" ref="H6:H11">+(F6/L6)*100</f>
        <v>3.7583463079522774</v>
      </c>
      <c r="K6" s="560">
        <v>28084685</v>
      </c>
      <c r="L6" s="560">
        <v>78282967</v>
      </c>
      <c r="M6" s="574"/>
    </row>
    <row r="7" spans="2:13" ht="21.75" customHeight="1">
      <c r="B7" s="115">
        <f>+B6+1</f>
        <v>2000</v>
      </c>
      <c r="C7" s="116">
        <v>400000</v>
      </c>
      <c r="D7" s="116">
        <v>1051460</v>
      </c>
      <c r="E7" s="400">
        <v>1775000</v>
      </c>
      <c r="F7" s="403">
        <f t="shared" si="0"/>
        <v>3226460</v>
      </c>
      <c r="G7" s="419">
        <f t="shared" si="1"/>
        <v>6.908164148836395</v>
      </c>
      <c r="H7" s="419">
        <f t="shared" si="2"/>
        <v>2.5689167537958117</v>
      </c>
      <c r="K7" s="560">
        <v>46705028</v>
      </c>
      <c r="L7" s="560">
        <v>125596129</v>
      </c>
      <c r="M7" s="574"/>
    </row>
    <row r="8" spans="2:13" ht="21.75" customHeight="1">
      <c r="B8" s="115">
        <f>+B7+1</f>
        <v>2001</v>
      </c>
      <c r="C8" s="116">
        <v>1108000</v>
      </c>
      <c r="D8" s="116">
        <v>1740000</v>
      </c>
      <c r="E8" s="400">
        <v>2675000</v>
      </c>
      <c r="F8" s="403">
        <f t="shared" si="0"/>
        <v>5523000</v>
      </c>
      <c r="G8" s="419">
        <f t="shared" si="1"/>
        <v>6.854137610060381</v>
      </c>
      <c r="H8" s="419">
        <f t="shared" si="2"/>
        <v>3.1294629942927448</v>
      </c>
      <c r="K8" s="560">
        <v>80579065</v>
      </c>
      <c r="L8" s="560">
        <v>176483953</v>
      </c>
      <c r="M8" s="574"/>
    </row>
    <row r="9" spans="2:13" ht="21.75" customHeight="1">
      <c r="B9" s="115">
        <f>+B8+1</f>
        <v>2002</v>
      </c>
      <c r="C9" s="116">
        <v>2386000</v>
      </c>
      <c r="D9" s="116">
        <v>2622000</v>
      </c>
      <c r="E9" s="400">
        <v>4676000</v>
      </c>
      <c r="F9" s="403">
        <f t="shared" si="0"/>
        <v>9684000</v>
      </c>
      <c r="G9" s="419">
        <f t="shared" si="1"/>
        <v>8.371199236530034</v>
      </c>
      <c r="H9" s="419">
        <f t="shared" si="2"/>
        <v>3.5210401382359486</v>
      </c>
      <c r="K9" s="560">
        <v>115682350</v>
      </c>
      <c r="L9" s="560">
        <v>275032366</v>
      </c>
      <c r="M9" s="574"/>
    </row>
    <row r="10" spans="2:13" ht="17.25" customHeight="1">
      <c r="B10" s="115">
        <f>+B9+1</f>
        <v>2003</v>
      </c>
      <c r="C10" s="116">
        <v>4808617</v>
      </c>
      <c r="D10" s="116">
        <v>4930000</v>
      </c>
      <c r="E10" s="400">
        <v>6145000</v>
      </c>
      <c r="F10" s="403">
        <f t="shared" si="0"/>
        <v>15883617</v>
      </c>
      <c r="G10" s="419">
        <f t="shared" si="1"/>
        <v>11.341067841548895</v>
      </c>
      <c r="H10" s="419">
        <f t="shared" si="2"/>
        <v>4.4531729998384435</v>
      </c>
      <c r="K10" s="560">
        <v>140053981</v>
      </c>
      <c r="L10" s="560">
        <v>356680888</v>
      </c>
      <c r="M10" s="574"/>
    </row>
    <row r="11" spans="2:13" ht="17.25" customHeight="1">
      <c r="B11" s="115">
        <v>2004</v>
      </c>
      <c r="C11" s="116">
        <v>5757000</v>
      </c>
      <c r="D11" s="116">
        <v>5273000</v>
      </c>
      <c r="E11" s="400">
        <v>7800000</v>
      </c>
      <c r="F11" s="403">
        <f t="shared" si="0"/>
        <v>18830000</v>
      </c>
      <c r="G11" s="419">
        <f t="shared" si="1"/>
        <v>12.374323889088993</v>
      </c>
      <c r="H11" s="419">
        <f t="shared" si="2"/>
        <v>4.389973235850904</v>
      </c>
      <c r="K11" s="560">
        <v>152169930</v>
      </c>
      <c r="L11" s="560">
        <v>428932000</v>
      </c>
      <c r="M11" s="574"/>
    </row>
    <row r="12" spans="2:13" ht="17.25" customHeight="1" thickBot="1">
      <c r="B12" s="117" t="s">
        <v>446</v>
      </c>
      <c r="C12" s="118">
        <v>6593000</v>
      </c>
      <c r="D12" s="118">
        <v>6926000</v>
      </c>
      <c r="E12" s="401">
        <v>8889300</v>
      </c>
      <c r="F12" s="404">
        <f>SUM(C12:E12)</f>
        <v>22408300</v>
      </c>
      <c r="G12" s="419">
        <f t="shared" si="1"/>
        <v>14.157468773494905</v>
      </c>
      <c r="H12" s="562">
        <f>+(F12/L12)*100</f>
        <v>4.619715580404818</v>
      </c>
      <c r="K12" s="560">
        <v>158279000</v>
      </c>
      <c r="L12" s="560">
        <v>485058000</v>
      </c>
      <c r="M12" s="574"/>
    </row>
    <row r="13" spans="2:12" ht="95.25" customHeight="1">
      <c r="B13" s="654" t="s">
        <v>430</v>
      </c>
      <c r="C13" s="654"/>
      <c r="D13" s="654"/>
      <c r="E13" s="654"/>
      <c r="F13" s="654"/>
      <c r="G13" s="654"/>
      <c r="H13" s="654"/>
      <c r="L13" s="560" t="s">
        <v>0</v>
      </c>
    </row>
    <row r="14" spans="2:7" ht="12.75">
      <c r="B14" s="655" t="s">
        <v>498</v>
      </c>
      <c r="C14" s="625"/>
      <c r="D14" s="625"/>
      <c r="E14" s="625"/>
      <c r="F14" s="625"/>
      <c r="G14" s="625"/>
    </row>
    <row r="15" spans="2:10" ht="12.75">
      <c r="B15" s="57"/>
      <c r="C15" s="57"/>
      <c r="D15" s="57"/>
      <c r="E15" s="57"/>
      <c r="F15" s="57"/>
      <c r="I15" s="57"/>
      <c r="J15" s="57"/>
    </row>
    <row r="16" spans="2:10" ht="12.75">
      <c r="B16" s="57"/>
      <c r="C16" s="57"/>
      <c r="D16" s="57"/>
      <c r="E16" s="57"/>
      <c r="F16" s="57"/>
      <c r="I16" s="57"/>
      <c r="J16" s="57"/>
    </row>
    <row r="17" spans="2:10" ht="12.75">
      <c r="B17" s="57"/>
      <c r="C17" s="57"/>
      <c r="D17" s="57"/>
      <c r="E17" s="57"/>
      <c r="F17" s="57"/>
      <c r="I17" s="57"/>
      <c r="J17" s="57"/>
    </row>
    <row r="18" spans="2:10" ht="12.75">
      <c r="B18" s="57"/>
      <c r="C18" s="57"/>
      <c r="D18" s="57"/>
      <c r="E18" s="57"/>
      <c r="F18" s="57"/>
      <c r="I18" s="57"/>
      <c r="J18" s="57"/>
    </row>
    <row r="19" spans="2:10" ht="12.75">
      <c r="B19" s="57"/>
      <c r="C19" s="57"/>
      <c r="D19" s="57"/>
      <c r="E19" s="57"/>
      <c r="F19" s="57"/>
      <c r="I19" s="57"/>
      <c r="J19" s="57"/>
    </row>
    <row r="20" spans="2:10" ht="12.75">
      <c r="B20" s="57"/>
      <c r="C20" s="57"/>
      <c r="D20" s="57"/>
      <c r="E20" s="57"/>
      <c r="F20" s="57"/>
      <c r="I20" s="57"/>
      <c r="J20" s="57"/>
    </row>
    <row r="21" spans="2:10" ht="12.75">
      <c r="B21" s="57"/>
      <c r="C21" s="57"/>
      <c r="D21" s="57"/>
      <c r="E21" s="57"/>
      <c r="F21" s="57"/>
      <c r="I21" s="57"/>
      <c r="J21" s="57"/>
    </row>
  </sheetData>
  <mergeCells count="5">
    <mergeCell ref="B13:H13"/>
    <mergeCell ref="B14:G14"/>
    <mergeCell ref="A1:H1"/>
    <mergeCell ref="A3:H3"/>
    <mergeCell ref="A2:H2"/>
  </mergeCells>
  <printOptions/>
  <pageMargins left="1.1811023622047245" right="0.5118110236220472" top="0.984251968503937" bottom="0.984251968503937" header="0.5118110236220472" footer="0.5118110236220472"/>
  <pageSetup horizontalDpi="300" verticalDpi="300" orientation="portrait" paperSize="9" scale="95" r:id="rId2"/>
  <headerFooter alignWithMargins="0">
    <oddFooter>&amp;C8</oddFooter>
  </headerFooter>
  <drawing r:id="rId1"/>
</worksheet>
</file>

<file path=xl/worksheets/sheet11.xml><?xml version="1.0" encoding="utf-8"?>
<worksheet xmlns="http://schemas.openxmlformats.org/spreadsheetml/2006/main" xmlns:r="http://schemas.openxmlformats.org/officeDocument/2006/relationships">
  <dimension ref="A1:H21"/>
  <sheetViews>
    <sheetView showGridLines="0" workbookViewId="0" topLeftCell="A13">
      <selection activeCell="A21" sqref="A21:H21"/>
    </sheetView>
  </sheetViews>
  <sheetFormatPr defaultColWidth="9.00390625" defaultRowHeight="12.75"/>
  <cols>
    <col min="1" max="1" width="9.00390625" style="0" customWidth="1"/>
    <col min="2" max="2" width="11.00390625" style="0" customWidth="1"/>
    <col min="3" max="3" width="11.125" style="0" customWidth="1"/>
    <col min="4" max="4" width="9.875" style="0" customWidth="1"/>
    <col min="5" max="5" width="13.125" style="0" customWidth="1"/>
    <col min="6" max="6" width="8.75390625" style="0" customWidth="1"/>
    <col min="7" max="7" width="12.75390625" style="0" customWidth="1"/>
    <col min="8" max="8" width="11.00390625" style="0" customWidth="1"/>
  </cols>
  <sheetData>
    <row r="1" spans="1:8" s="3" customFormat="1" ht="20.25" customHeight="1">
      <c r="A1" s="658" t="s">
        <v>237</v>
      </c>
      <c r="B1" s="659"/>
      <c r="C1" s="659"/>
      <c r="D1" s="659"/>
      <c r="E1" s="659"/>
      <c r="F1" s="659"/>
      <c r="G1" s="659"/>
      <c r="H1" s="659"/>
    </row>
    <row r="2" spans="1:8" s="3" customFormat="1" ht="15">
      <c r="A2" s="658" t="s">
        <v>277</v>
      </c>
      <c r="B2" s="659"/>
      <c r="C2" s="659"/>
      <c r="D2" s="659"/>
      <c r="E2" s="659"/>
      <c r="F2" s="659"/>
      <c r="G2" s="659"/>
      <c r="H2" s="659"/>
    </row>
    <row r="3" spans="1:8" s="3" customFormat="1" ht="15">
      <c r="A3" s="309"/>
      <c r="B3" s="310"/>
      <c r="C3" s="310"/>
      <c r="D3" s="310"/>
      <c r="E3" s="310"/>
      <c r="F3" s="310"/>
      <c r="G3" s="310"/>
      <c r="H3" s="310"/>
    </row>
    <row r="4" spans="1:2" ht="13.5" thickBot="1">
      <c r="A4" s="57" t="s">
        <v>467</v>
      </c>
      <c r="B4" s="57"/>
    </row>
    <row r="5" spans="1:8" ht="29.25" customHeight="1">
      <c r="A5" s="660" t="s">
        <v>44</v>
      </c>
      <c r="B5" s="664" t="s">
        <v>239</v>
      </c>
      <c r="C5" s="665"/>
      <c r="D5" s="290" t="s">
        <v>0</v>
      </c>
      <c r="E5" s="291" t="s">
        <v>249</v>
      </c>
      <c r="F5" s="292" t="s">
        <v>0</v>
      </c>
      <c r="G5" s="666" t="s">
        <v>235</v>
      </c>
      <c r="H5" s="667"/>
    </row>
    <row r="6" spans="1:8" ht="61.5" customHeight="1" thickBot="1">
      <c r="A6" s="661"/>
      <c r="B6" s="380" t="s">
        <v>233</v>
      </c>
      <c r="C6" s="381" t="s">
        <v>234</v>
      </c>
      <c r="D6" s="382" t="s">
        <v>236</v>
      </c>
      <c r="E6" s="378" t="s">
        <v>341</v>
      </c>
      <c r="F6" s="379" t="s">
        <v>250</v>
      </c>
      <c r="G6" s="293" t="s">
        <v>180</v>
      </c>
      <c r="H6" s="294" t="s">
        <v>181</v>
      </c>
    </row>
    <row r="7" spans="1:8" ht="18" customHeight="1">
      <c r="A7" s="328">
        <v>1993</v>
      </c>
      <c r="B7" s="295">
        <v>57.5</v>
      </c>
      <c r="C7" s="296">
        <v>42.8</v>
      </c>
      <c r="D7" s="297">
        <f>+(C7/B7)*100</f>
        <v>74.43478260869566</v>
      </c>
      <c r="E7" s="295">
        <v>42.4</v>
      </c>
      <c r="F7" s="297"/>
      <c r="G7" s="298" t="s">
        <v>86</v>
      </c>
      <c r="H7" s="299" t="s">
        <v>86</v>
      </c>
    </row>
    <row r="8" spans="1:8" ht="18" customHeight="1">
      <c r="A8" s="329">
        <f aca="true" t="shared" si="0" ref="A8:A15">+A7+1</f>
        <v>1994</v>
      </c>
      <c r="B8" s="300">
        <v>84.1</v>
      </c>
      <c r="C8" s="301">
        <v>60.6</v>
      </c>
      <c r="D8" s="302">
        <f aca="true" t="shared" si="1" ref="D8:D16">+(C8/B8)*100</f>
        <v>72.05707491082046</v>
      </c>
      <c r="E8" s="300">
        <v>80.3</v>
      </c>
      <c r="F8" s="303">
        <f>+(E8/E7-1)*100</f>
        <v>89.38679245283019</v>
      </c>
      <c r="G8" s="304">
        <v>14480</v>
      </c>
      <c r="H8" s="303">
        <v>425.6</v>
      </c>
    </row>
    <row r="9" spans="1:8" ht="18" customHeight="1">
      <c r="A9" s="329">
        <f t="shared" si="0"/>
        <v>1995</v>
      </c>
      <c r="B9" s="300">
        <v>125.5</v>
      </c>
      <c r="C9" s="301">
        <v>102.1</v>
      </c>
      <c r="D9" s="302">
        <f t="shared" si="1"/>
        <v>81.35458167330677</v>
      </c>
      <c r="E9" s="300">
        <v>156.4</v>
      </c>
      <c r="F9" s="303">
        <f aca="true" t="shared" si="2" ref="F9:F16">+(E9/E8-1)*100</f>
        <v>94.76961394769616</v>
      </c>
      <c r="G9" s="304">
        <v>59200</v>
      </c>
      <c r="H9" s="303">
        <v>1194.1</v>
      </c>
    </row>
    <row r="10" spans="1:8" ht="18" customHeight="1">
      <c r="A10" s="329">
        <f t="shared" si="0"/>
        <v>1996</v>
      </c>
      <c r="B10" s="300">
        <v>300.2</v>
      </c>
      <c r="C10" s="301">
        <v>256</v>
      </c>
      <c r="D10" s="302">
        <f t="shared" si="1"/>
        <v>85.27648234510326</v>
      </c>
      <c r="E10" s="300">
        <v>343.6</v>
      </c>
      <c r="F10" s="303">
        <f t="shared" si="2"/>
        <v>119.69309462915602</v>
      </c>
      <c r="G10" s="304">
        <v>69739</v>
      </c>
      <c r="H10" s="303">
        <v>862.6</v>
      </c>
    </row>
    <row r="11" spans="1:8" ht="18" customHeight="1">
      <c r="A11" s="329">
        <f t="shared" si="0"/>
        <v>1997</v>
      </c>
      <c r="B11" s="300">
        <v>715.8</v>
      </c>
      <c r="C11" s="301">
        <v>611.6</v>
      </c>
      <c r="D11" s="302">
        <f t="shared" si="1"/>
        <v>85.44286113439509</v>
      </c>
      <c r="E11" s="300">
        <v>762.3</v>
      </c>
      <c r="F11" s="303">
        <f t="shared" si="2"/>
        <v>121.85681024447028</v>
      </c>
      <c r="G11" s="304">
        <v>336000</v>
      </c>
      <c r="H11" s="303">
        <v>2221.4</v>
      </c>
    </row>
    <row r="12" spans="1:8" ht="18" customHeight="1">
      <c r="A12" s="329">
        <f t="shared" si="0"/>
        <v>1998</v>
      </c>
      <c r="B12" s="300">
        <v>1421.4</v>
      </c>
      <c r="C12" s="301">
        <v>1201.4</v>
      </c>
      <c r="D12" s="302">
        <f t="shared" si="1"/>
        <v>84.52230195581821</v>
      </c>
      <c r="E12" s="300">
        <v>1477.6</v>
      </c>
      <c r="F12" s="303">
        <f t="shared" si="2"/>
        <v>93.83444837990294</v>
      </c>
      <c r="G12" s="304">
        <v>447000</v>
      </c>
      <c r="H12" s="303">
        <v>1692.3</v>
      </c>
    </row>
    <row r="13" spans="1:8" ht="18" customHeight="1">
      <c r="A13" s="329">
        <f t="shared" si="0"/>
        <v>1999</v>
      </c>
      <c r="B13" s="300">
        <v>2514.5</v>
      </c>
      <c r="C13" s="301">
        <v>1989.2</v>
      </c>
      <c r="D13" s="302">
        <f t="shared" si="1"/>
        <v>79.10916683237225</v>
      </c>
      <c r="E13" s="300">
        <v>2555.8</v>
      </c>
      <c r="F13" s="303">
        <f t="shared" si="2"/>
        <v>72.96968056307529</v>
      </c>
      <c r="G13" s="304">
        <v>1111000</v>
      </c>
      <c r="H13" s="303">
        <v>2662.1</v>
      </c>
    </row>
    <row r="14" spans="1:8" ht="18" customHeight="1">
      <c r="A14" s="329">
        <f t="shared" si="0"/>
        <v>2000</v>
      </c>
      <c r="B14" s="300">
        <v>5002.9</v>
      </c>
      <c r="C14" s="301">
        <v>4221</v>
      </c>
      <c r="D14" s="302">
        <f t="shared" si="1"/>
        <v>84.3710647824262</v>
      </c>
      <c r="E14" s="300">
        <v>3574.6</v>
      </c>
      <c r="F14" s="303">
        <f t="shared" si="2"/>
        <v>39.862274043352365</v>
      </c>
      <c r="G14" s="304">
        <v>400000</v>
      </c>
      <c r="H14" s="303">
        <v>687.5</v>
      </c>
    </row>
    <row r="15" spans="1:8" ht="18" customHeight="1">
      <c r="A15" s="329">
        <f t="shared" si="0"/>
        <v>2001</v>
      </c>
      <c r="B15" s="300">
        <v>7328.9</v>
      </c>
      <c r="C15" s="324">
        <v>5985.3</v>
      </c>
      <c r="D15" s="325">
        <f t="shared" si="1"/>
        <v>81.66709874606013</v>
      </c>
      <c r="E15" s="300">
        <v>5708.3</v>
      </c>
      <c r="F15" s="303">
        <f t="shared" si="2"/>
        <v>59.69059475186036</v>
      </c>
      <c r="G15" s="304">
        <v>1108000</v>
      </c>
      <c r="H15" s="303">
        <v>806</v>
      </c>
    </row>
    <row r="16" spans="1:8" ht="18" customHeight="1">
      <c r="A16" s="329">
        <v>2002</v>
      </c>
      <c r="B16" s="300">
        <v>10869.9</v>
      </c>
      <c r="C16" s="301">
        <v>8941.2</v>
      </c>
      <c r="D16" s="302">
        <f t="shared" si="1"/>
        <v>82.25650649959982</v>
      </c>
      <c r="E16" s="300">
        <v>8953.9</v>
      </c>
      <c r="F16" s="303">
        <f t="shared" si="2"/>
        <v>56.85755829231118</v>
      </c>
      <c r="G16" s="304">
        <v>2386000</v>
      </c>
      <c r="H16" s="303">
        <v>1614</v>
      </c>
    </row>
    <row r="17" spans="1:8" ht="18" customHeight="1" hidden="1" thickBot="1">
      <c r="A17" s="330">
        <v>2002</v>
      </c>
      <c r="B17" s="322">
        <v>10869.9</v>
      </c>
      <c r="C17" s="323">
        <v>8941.2</v>
      </c>
      <c r="D17" s="306">
        <f>+(C17/B17)*100</f>
        <v>82.25650649959982</v>
      </c>
      <c r="E17" s="322">
        <v>8954.9</v>
      </c>
      <c r="F17" s="326">
        <f>+(E17/E16-1)*100</f>
        <v>0.011168317716303555</v>
      </c>
      <c r="G17" s="327">
        <v>2386000</v>
      </c>
      <c r="H17" s="326">
        <v>1614</v>
      </c>
    </row>
    <row r="18" spans="1:8" ht="18" customHeight="1">
      <c r="A18" s="329">
        <v>2003</v>
      </c>
      <c r="B18" s="300">
        <v>15536.8</v>
      </c>
      <c r="C18" s="301">
        <v>12745</v>
      </c>
      <c r="D18" s="302">
        <f>+(C18/B18)*100</f>
        <v>82.03104886463107</v>
      </c>
      <c r="E18" s="300">
        <v>11960.5</v>
      </c>
      <c r="F18" s="303">
        <f>+(E18/E17-1)*100</f>
        <v>33.563747222191196</v>
      </c>
      <c r="G18" s="304">
        <v>3157883.5</v>
      </c>
      <c r="H18" s="303">
        <v>1924.7</v>
      </c>
    </row>
    <row r="19" spans="1:8" ht="18" customHeight="1" thickBot="1">
      <c r="A19" s="330">
        <v>2004</v>
      </c>
      <c r="B19" s="305">
        <v>21088.1</v>
      </c>
      <c r="C19" s="415">
        <v>16967.5</v>
      </c>
      <c r="D19" s="416">
        <f>+(C19/B19)*100</f>
        <v>80.46006989724063</v>
      </c>
      <c r="E19" s="305">
        <v>16555.7</v>
      </c>
      <c r="F19" s="307">
        <f>+(E19/E18-1)*100</f>
        <v>38.419798503407044</v>
      </c>
      <c r="G19" s="308">
        <v>5164847.4</v>
      </c>
      <c r="H19" s="307">
        <v>4053.2</v>
      </c>
    </row>
    <row r="20" spans="1:8" ht="49.5" customHeight="1">
      <c r="A20" s="662" t="s">
        <v>431</v>
      </c>
      <c r="B20" s="663"/>
      <c r="C20" s="663"/>
      <c r="D20" s="663"/>
      <c r="E20" s="663"/>
      <c r="F20" s="663"/>
      <c r="G20" s="663"/>
      <c r="H20" s="663"/>
    </row>
    <row r="21" spans="1:8" ht="39" customHeight="1">
      <c r="A21" s="662" t="s">
        <v>433</v>
      </c>
      <c r="B21" s="663"/>
      <c r="C21" s="663"/>
      <c r="D21" s="663"/>
      <c r="E21" s="663"/>
      <c r="F21" s="663"/>
      <c r="G21" s="663"/>
      <c r="H21" s="663"/>
    </row>
  </sheetData>
  <mergeCells count="7">
    <mergeCell ref="A1:H1"/>
    <mergeCell ref="A2:H2"/>
    <mergeCell ref="A5:A6"/>
    <mergeCell ref="A21:H21"/>
    <mergeCell ref="A20:H20"/>
    <mergeCell ref="B5:C5"/>
    <mergeCell ref="G5:H5"/>
  </mergeCells>
  <printOptions horizontalCentered="1" verticalCentered="1"/>
  <pageMargins left="0.9448818897637796" right="0.15748031496062992" top="0.7874015748031497" bottom="0.5118110236220472" header="0.5118110236220472" footer="0.5118110236220472"/>
  <pageSetup horizontalDpi="300" verticalDpi="300" orientation="portrait" paperSize="9" r:id="rId2"/>
  <headerFooter alignWithMargins="0">
    <oddFooter>&amp;C9</oddFooter>
  </headerFooter>
  <drawing r:id="rId1"/>
</worksheet>
</file>

<file path=xl/worksheets/sheet12.xml><?xml version="1.0" encoding="utf-8"?>
<worksheet xmlns="http://schemas.openxmlformats.org/spreadsheetml/2006/main" xmlns:r="http://schemas.openxmlformats.org/officeDocument/2006/relationships">
  <dimension ref="A1:O21"/>
  <sheetViews>
    <sheetView showGridLines="0" workbookViewId="0" topLeftCell="A13">
      <selection activeCell="A21" sqref="A21"/>
    </sheetView>
  </sheetViews>
  <sheetFormatPr defaultColWidth="9.00390625" defaultRowHeight="12.75"/>
  <cols>
    <col min="1" max="1" width="13.375" style="6" customWidth="1"/>
    <col min="2" max="2" width="14.875" style="6" customWidth="1"/>
    <col min="3" max="3" width="16.25390625" style="6" customWidth="1"/>
    <col min="4" max="4" width="20.625" style="6" customWidth="1"/>
    <col min="5" max="5" width="13.375" style="6" customWidth="1"/>
    <col min="6" max="6" width="13.00390625" style="6" customWidth="1"/>
    <col min="7" max="7" width="15.75390625" style="6" customWidth="1"/>
    <col min="8" max="8" width="18.625" style="6" customWidth="1"/>
    <col min="9" max="16384" width="9.125" style="6" customWidth="1"/>
  </cols>
  <sheetData>
    <row r="1" spans="1:8" ht="23.25" customHeight="1">
      <c r="A1" s="670" t="s">
        <v>274</v>
      </c>
      <c r="B1" s="671"/>
      <c r="C1" s="671"/>
      <c r="D1" s="671"/>
      <c r="E1" s="671"/>
      <c r="F1" s="671"/>
      <c r="G1" s="671"/>
      <c r="H1" s="671"/>
    </row>
    <row r="2" spans="1:8" ht="16.5" thickBot="1">
      <c r="A2" s="678" t="s">
        <v>468</v>
      </c>
      <c r="B2" s="679"/>
      <c r="C2" s="679"/>
      <c r="D2" s="679"/>
      <c r="E2" s="679"/>
      <c r="F2" s="679"/>
      <c r="G2" s="679"/>
      <c r="H2" s="679"/>
    </row>
    <row r="3" spans="1:15" ht="22.5" customHeight="1" thickBot="1" thickTop="1">
      <c r="A3" s="675" t="s">
        <v>393</v>
      </c>
      <c r="B3" s="676"/>
      <c r="C3" s="676"/>
      <c r="D3" s="677"/>
      <c r="E3" s="675" t="s">
        <v>447</v>
      </c>
      <c r="F3" s="676"/>
      <c r="G3" s="676"/>
      <c r="H3" s="677"/>
      <c r="I3" s="368"/>
      <c r="J3" s="368"/>
      <c r="K3" s="369"/>
      <c r="L3" s="369"/>
      <c r="M3" s="369"/>
      <c r="N3" s="369"/>
      <c r="O3" s="369"/>
    </row>
    <row r="4" spans="1:15" s="3" customFormat="1" ht="84" customHeight="1" thickTop="1">
      <c r="A4" s="366" t="s">
        <v>414</v>
      </c>
      <c r="B4" s="366" t="s">
        <v>29</v>
      </c>
      <c r="C4" s="367" t="s">
        <v>30</v>
      </c>
      <c r="D4" s="268" t="s">
        <v>31</v>
      </c>
      <c r="E4" s="366" t="s">
        <v>448</v>
      </c>
      <c r="F4" s="366" t="s">
        <v>29</v>
      </c>
      <c r="G4" s="367" t="s">
        <v>30</v>
      </c>
      <c r="H4" s="268" t="s">
        <v>31</v>
      </c>
      <c r="I4" s="370"/>
      <c r="J4" s="370"/>
      <c r="K4" s="370"/>
      <c r="L4" s="370"/>
      <c r="M4" s="370"/>
      <c r="N4" s="370"/>
      <c r="O4" s="370"/>
    </row>
    <row r="5" spans="1:8" s="3" customFormat="1" ht="15">
      <c r="A5" s="232" t="s">
        <v>16</v>
      </c>
      <c r="B5" s="231">
        <v>1508000</v>
      </c>
      <c r="C5" s="230">
        <f>1717731+16924</f>
        <v>1734655</v>
      </c>
      <c r="D5" s="371">
        <f aca="true" t="shared" si="0" ref="D5:D16">+(B5/C5)*100</f>
        <v>86.93371304380409</v>
      </c>
      <c r="E5" s="232" t="s">
        <v>16</v>
      </c>
      <c r="F5" s="231">
        <v>1928000</v>
      </c>
      <c r="G5" s="230">
        <f>1927208+18240</f>
        <v>1945448</v>
      </c>
      <c r="H5" s="371">
        <f>+(F5/G5)*100</f>
        <v>99.10313716943347</v>
      </c>
    </row>
    <row r="6" spans="1:8" s="3" customFormat="1" ht="15">
      <c r="A6" s="232" t="s">
        <v>17</v>
      </c>
      <c r="B6" s="231">
        <v>1554100</v>
      </c>
      <c r="C6" s="230">
        <f>1703337+16983</f>
        <v>1720320</v>
      </c>
      <c r="D6" s="371">
        <f t="shared" si="0"/>
        <v>90.33784412202381</v>
      </c>
      <c r="E6" s="232" t="s">
        <v>17</v>
      </c>
      <c r="F6" s="231"/>
      <c r="G6" s="230"/>
      <c r="H6" s="371"/>
    </row>
    <row r="7" spans="1:8" s="3" customFormat="1" ht="15">
      <c r="A7" s="232" t="s">
        <v>18</v>
      </c>
      <c r="B7" s="231">
        <v>1685000</v>
      </c>
      <c r="C7" s="230">
        <f>1728320+17054</f>
        <v>1745374</v>
      </c>
      <c r="D7" s="371">
        <f t="shared" si="0"/>
        <v>96.54091329422806</v>
      </c>
      <c r="E7" s="232" t="s">
        <v>18</v>
      </c>
      <c r="F7" s="231"/>
      <c r="G7" s="230"/>
      <c r="H7" s="371"/>
    </row>
    <row r="8" spans="1:8" s="3" customFormat="1" ht="15">
      <c r="A8" s="232" t="s">
        <v>32</v>
      </c>
      <c r="B8" s="231">
        <v>1503278</v>
      </c>
      <c r="C8" s="230">
        <f>1720957+17136</f>
        <v>1738093</v>
      </c>
      <c r="D8" s="371">
        <f t="shared" si="0"/>
        <v>86.49007849407367</v>
      </c>
      <c r="E8" s="232" t="s">
        <v>32</v>
      </c>
      <c r="F8" s="231"/>
      <c r="G8" s="230"/>
      <c r="H8" s="371"/>
    </row>
    <row r="9" spans="1:8" s="3" customFormat="1" ht="15">
      <c r="A9" s="232" t="s">
        <v>20</v>
      </c>
      <c r="B9" s="231">
        <v>1660000</v>
      </c>
      <c r="C9" s="230">
        <f>1772742+17212</f>
        <v>1789954</v>
      </c>
      <c r="D9" s="371">
        <f t="shared" si="0"/>
        <v>92.73981342537294</v>
      </c>
      <c r="E9" s="232" t="s">
        <v>20</v>
      </c>
      <c r="F9" s="231"/>
      <c r="G9" s="230"/>
      <c r="H9" s="371"/>
    </row>
    <row r="10" spans="1:8" s="3" customFormat="1" ht="15">
      <c r="A10" s="232" t="s">
        <v>21</v>
      </c>
      <c r="B10" s="231">
        <v>1657000</v>
      </c>
      <c r="C10" s="230">
        <f>1752780+17266</f>
        <v>1770046</v>
      </c>
      <c r="D10" s="371">
        <f t="shared" si="0"/>
        <v>93.61338631877364</v>
      </c>
      <c r="E10" s="232" t="s">
        <v>21</v>
      </c>
      <c r="F10" s="231"/>
      <c r="G10" s="230"/>
      <c r="H10" s="371"/>
    </row>
    <row r="11" spans="1:8" s="3" customFormat="1" ht="15">
      <c r="A11" s="232" t="s">
        <v>22</v>
      </c>
      <c r="B11" s="231">
        <v>1669000</v>
      </c>
      <c r="C11" s="230">
        <f>1861971+17329</f>
        <v>1879300</v>
      </c>
      <c r="D11" s="371">
        <f t="shared" si="0"/>
        <v>88.80966317245783</v>
      </c>
      <c r="E11" s="232" t="s">
        <v>22</v>
      </c>
      <c r="F11" s="231"/>
      <c r="G11" s="230"/>
      <c r="H11" s="371"/>
    </row>
    <row r="12" spans="1:8" s="3" customFormat="1" ht="15">
      <c r="A12" s="232" t="s">
        <v>23</v>
      </c>
      <c r="B12" s="231">
        <v>1675000</v>
      </c>
      <c r="C12" s="230">
        <f>1867259+17381</f>
        <v>1884640</v>
      </c>
      <c r="D12" s="371">
        <f t="shared" si="0"/>
        <v>88.87639018592411</v>
      </c>
      <c r="E12" s="232" t="s">
        <v>23</v>
      </c>
      <c r="F12" s="231"/>
      <c r="G12" s="230"/>
      <c r="H12" s="371"/>
    </row>
    <row r="13" spans="1:8" s="3" customFormat="1" ht="15">
      <c r="A13" s="232" t="s">
        <v>24</v>
      </c>
      <c r="B13" s="231">
        <v>1703000</v>
      </c>
      <c r="C13" s="230">
        <f>1881506+17852</f>
        <v>1899358</v>
      </c>
      <c r="D13" s="371">
        <f t="shared" si="0"/>
        <v>89.6618752231017</v>
      </c>
      <c r="E13" s="232" t="s">
        <v>24</v>
      </c>
      <c r="F13" s="231"/>
      <c r="G13" s="230"/>
      <c r="H13" s="371"/>
    </row>
    <row r="14" spans="1:8" s="3" customFormat="1" ht="15">
      <c r="A14" s="232" t="s">
        <v>25</v>
      </c>
      <c r="B14" s="231">
        <v>1728000</v>
      </c>
      <c r="C14" s="230">
        <f>1902298+18042</f>
        <v>1920340</v>
      </c>
      <c r="D14" s="371">
        <f t="shared" si="0"/>
        <v>89.98406532176594</v>
      </c>
      <c r="E14" s="232" t="s">
        <v>25</v>
      </c>
      <c r="F14" s="231"/>
      <c r="G14" s="230"/>
      <c r="H14" s="371"/>
    </row>
    <row r="15" spans="1:8" s="3" customFormat="1" ht="15">
      <c r="A15" s="232" t="s">
        <v>26</v>
      </c>
      <c r="B15" s="231">
        <v>1717000</v>
      </c>
      <c r="C15" s="230">
        <f>1912382+18123</f>
        <v>1930505</v>
      </c>
      <c r="D15" s="371">
        <f t="shared" si="0"/>
        <v>88.94045858467085</v>
      </c>
      <c r="E15" s="232" t="s">
        <v>26</v>
      </c>
      <c r="F15" s="231"/>
      <c r="G15" s="230"/>
      <c r="H15" s="371"/>
    </row>
    <row r="16" spans="1:8" s="3" customFormat="1" ht="15">
      <c r="A16" s="232" t="s">
        <v>27</v>
      </c>
      <c r="B16" s="231">
        <v>1806000</v>
      </c>
      <c r="C16" s="230">
        <f>1914210+18124</f>
        <v>1932334</v>
      </c>
      <c r="D16" s="371">
        <f t="shared" si="0"/>
        <v>93.46210334238285</v>
      </c>
      <c r="E16" s="232" t="s">
        <v>27</v>
      </c>
      <c r="F16" s="231"/>
      <c r="G16" s="230"/>
      <c r="H16" s="371"/>
    </row>
    <row r="17" spans="1:8" s="3" customFormat="1" ht="15.75" thickBot="1">
      <c r="A17" s="233" t="s">
        <v>33</v>
      </c>
      <c r="B17" s="332">
        <f>SUM(B5:B16)</f>
        <v>19865378</v>
      </c>
      <c r="C17" s="331">
        <f>SUM(C5:C16)</f>
        <v>21944919</v>
      </c>
      <c r="D17" s="234">
        <f>+(B17/C17)*100</f>
        <v>90.52381555839874</v>
      </c>
      <c r="E17" s="233" t="s">
        <v>33</v>
      </c>
      <c r="F17" s="332">
        <f>SUM(F5:F16)</f>
        <v>1928000</v>
      </c>
      <c r="G17" s="331">
        <f>SUM(G5:G16)</f>
        <v>1945448</v>
      </c>
      <c r="H17" s="234">
        <f>+(F17/G17)*100</f>
        <v>99.10313716943347</v>
      </c>
    </row>
    <row r="18" spans="1:8" s="3" customFormat="1" ht="38.25" customHeight="1" thickTop="1">
      <c r="A18" s="672" t="s">
        <v>432</v>
      </c>
      <c r="B18" s="673"/>
      <c r="C18" s="673"/>
      <c r="D18" s="673"/>
      <c r="E18" s="673"/>
      <c r="F18" s="673"/>
      <c r="G18" s="673"/>
      <c r="H18" s="674"/>
    </row>
    <row r="19" spans="1:8" s="3" customFormat="1" ht="17.25" customHeight="1">
      <c r="A19" s="668"/>
      <c r="B19" s="669"/>
      <c r="C19" s="669"/>
      <c r="D19" s="669"/>
      <c r="E19" s="669"/>
      <c r="F19" s="669"/>
      <c r="G19" s="448"/>
      <c r="H19" s="206"/>
    </row>
    <row r="20" s="3" customFormat="1" ht="14.25">
      <c r="A20" s="569" t="s">
        <v>0</v>
      </c>
    </row>
    <row r="21" s="3" customFormat="1" ht="14.25">
      <c r="H21" s="3" t="s">
        <v>0</v>
      </c>
    </row>
    <row r="22" s="3" customFormat="1" ht="14.25"/>
    <row r="23" s="3" customFormat="1" ht="14.25"/>
    <row r="24" s="3" customFormat="1" ht="14.25"/>
    <row r="25" s="3" customFormat="1" ht="14.25"/>
    <row r="26" s="3" customFormat="1" ht="14.25"/>
    <row r="27" s="3" customFormat="1" ht="14.25"/>
    <row r="28" s="3" customFormat="1" ht="14.25"/>
    <row r="29" s="3" customFormat="1" ht="14.25"/>
    <row r="30" s="3" customFormat="1" ht="14.25"/>
    <row r="31" s="3" customFormat="1" ht="14.25"/>
    <row r="32" s="3" customFormat="1" ht="14.25"/>
    <row r="33" s="3" customFormat="1" ht="14.25"/>
    <row r="34" s="3" customFormat="1" ht="14.25"/>
    <row r="35" s="3" customFormat="1" ht="14.25"/>
    <row r="36" s="3" customFormat="1" ht="14.25"/>
    <row r="37" s="3" customFormat="1" ht="14.25"/>
    <row r="38" s="3" customFormat="1" ht="14.25"/>
    <row r="39" s="3" customFormat="1" ht="14.25"/>
    <row r="40" s="3" customFormat="1" ht="14.25"/>
    <row r="41" s="3" customFormat="1" ht="14.25"/>
    <row r="42" s="3" customFormat="1" ht="14.25"/>
    <row r="43" s="3" customFormat="1" ht="14.25"/>
  </sheetData>
  <mergeCells count="6">
    <mergeCell ref="A19:F19"/>
    <mergeCell ref="A1:H1"/>
    <mergeCell ref="A18:H18"/>
    <mergeCell ref="A3:D3"/>
    <mergeCell ref="E3:H3"/>
    <mergeCell ref="A2:H2"/>
  </mergeCells>
  <printOptions horizontalCentered="1"/>
  <pageMargins left="0.2" right="0.43" top="0.2" bottom="0" header="0" footer="0"/>
  <pageSetup horizontalDpi="300" verticalDpi="300" orientation="landscape" paperSize="9" scale="90" r:id="rId2"/>
  <headerFooter alignWithMargins="0">
    <oddFooter>&amp;C10</oddFooter>
  </headerFooter>
  <drawing r:id="rId1"/>
</worksheet>
</file>

<file path=xl/worksheets/sheet13.xml><?xml version="1.0" encoding="utf-8"?>
<worksheet xmlns="http://schemas.openxmlformats.org/spreadsheetml/2006/main" xmlns:r="http://schemas.openxmlformats.org/officeDocument/2006/relationships">
  <dimension ref="A1:E33"/>
  <sheetViews>
    <sheetView showGridLines="0" workbookViewId="0" topLeftCell="A13">
      <selection activeCell="E33" sqref="E33"/>
    </sheetView>
  </sheetViews>
  <sheetFormatPr defaultColWidth="9.00390625" defaultRowHeight="12.75"/>
  <cols>
    <col min="1" max="2" width="11.25390625" style="0" customWidth="1"/>
    <col min="3" max="3" width="16.125" style="0" customWidth="1"/>
    <col min="4" max="4" width="16.75390625" style="0" customWidth="1"/>
    <col min="5" max="5" width="15.625" style="0" customWidth="1"/>
  </cols>
  <sheetData>
    <row r="1" spans="1:2" s="6" customFormat="1" ht="15.75">
      <c r="A1" s="8" t="s">
        <v>394</v>
      </c>
      <c r="B1" s="8"/>
    </row>
    <row r="3" spans="1:5" ht="12.75">
      <c r="A3" s="69" t="s">
        <v>469</v>
      </c>
      <c r="B3" s="69"/>
      <c r="C3" s="10"/>
      <c r="D3" s="9"/>
      <c r="E3" s="192" t="s">
        <v>34</v>
      </c>
    </row>
    <row r="4" spans="1:5" ht="22.5">
      <c r="A4" s="58" t="s">
        <v>28</v>
      </c>
      <c r="B4" s="12" t="s">
        <v>238</v>
      </c>
      <c r="C4" s="12" t="s">
        <v>246</v>
      </c>
      <c r="D4" s="12" t="s">
        <v>35</v>
      </c>
      <c r="E4" s="12" t="s">
        <v>36</v>
      </c>
    </row>
    <row r="5" spans="1:5" ht="12.75">
      <c r="A5" s="59" t="s">
        <v>16</v>
      </c>
      <c r="B5" s="60">
        <v>1508000</v>
      </c>
      <c r="C5" s="60">
        <f aca="true" t="shared" si="0" ref="C5:C11">SUM(D5:E5)</f>
        <v>699000</v>
      </c>
      <c r="D5" s="61">
        <v>586000</v>
      </c>
      <c r="E5" s="61">
        <v>113000</v>
      </c>
    </row>
    <row r="6" spans="1:5" ht="12.75">
      <c r="A6" s="59" t="s">
        <v>17</v>
      </c>
      <c r="B6" s="60">
        <v>1554100</v>
      </c>
      <c r="C6" s="60">
        <f t="shared" si="0"/>
        <v>712000</v>
      </c>
      <c r="D6" s="61">
        <v>600000</v>
      </c>
      <c r="E6" s="61">
        <v>112000</v>
      </c>
    </row>
    <row r="7" spans="1:5" ht="12.75">
      <c r="A7" s="59" t="s">
        <v>18</v>
      </c>
      <c r="B7" s="60">
        <v>1685000</v>
      </c>
      <c r="C7" s="60">
        <f t="shared" si="0"/>
        <v>637000</v>
      </c>
      <c r="D7" s="61">
        <v>525000</v>
      </c>
      <c r="E7" s="61">
        <v>112000</v>
      </c>
    </row>
    <row r="8" spans="1:5" ht="12.75">
      <c r="A8" s="59" t="s">
        <v>19</v>
      </c>
      <c r="B8" s="60">
        <v>1503278</v>
      </c>
      <c r="C8" s="60">
        <f t="shared" si="0"/>
        <v>653000</v>
      </c>
      <c r="D8" s="61">
        <v>540000</v>
      </c>
      <c r="E8" s="61">
        <v>113000</v>
      </c>
    </row>
    <row r="9" spans="1:5" ht="12.75">
      <c r="A9" s="59" t="s">
        <v>20</v>
      </c>
      <c r="B9" s="60">
        <v>1660000</v>
      </c>
      <c r="C9" s="60">
        <f t="shared" si="0"/>
        <v>955500</v>
      </c>
      <c r="D9" s="61">
        <v>843000</v>
      </c>
      <c r="E9" s="61">
        <v>112500</v>
      </c>
    </row>
    <row r="10" spans="1:5" ht="12.75">
      <c r="A10" s="59" t="s">
        <v>21</v>
      </c>
      <c r="B10" s="60">
        <v>1657000</v>
      </c>
      <c r="C10" s="60">
        <f t="shared" si="0"/>
        <v>623000</v>
      </c>
      <c r="D10" s="61">
        <v>510000</v>
      </c>
      <c r="E10" s="61">
        <v>113000</v>
      </c>
    </row>
    <row r="11" spans="1:5" ht="12.75">
      <c r="A11" s="59" t="s">
        <v>22</v>
      </c>
      <c r="B11" s="60">
        <v>1669000</v>
      </c>
      <c r="C11" s="60">
        <f t="shared" si="0"/>
        <v>713000</v>
      </c>
      <c r="D11" s="61">
        <v>600000</v>
      </c>
      <c r="E11" s="61">
        <v>113000</v>
      </c>
    </row>
    <row r="12" spans="1:5" ht="12.75">
      <c r="A12" s="59" t="s">
        <v>23</v>
      </c>
      <c r="B12" s="60">
        <v>1675000</v>
      </c>
      <c r="C12" s="60">
        <f>SUM(D12:E12)</f>
        <v>900000</v>
      </c>
      <c r="D12" s="61">
        <v>850000</v>
      </c>
      <c r="E12" s="61">
        <v>50000</v>
      </c>
    </row>
    <row r="13" spans="1:5" ht="12.75">
      <c r="A13" s="59" t="s">
        <v>24</v>
      </c>
      <c r="B13" s="60">
        <v>1703000</v>
      </c>
      <c r="C13" s="60">
        <f>SUM(D13:E13)</f>
        <v>776500</v>
      </c>
      <c r="D13" s="61">
        <v>664000</v>
      </c>
      <c r="E13" s="61">
        <v>112500</v>
      </c>
    </row>
    <row r="14" spans="1:5" ht="12.75">
      <c r="A14" s="59" t="s">
        <v>25</v>
      </c>
      <c r="B14" s="60">
        <v>1728000</v>
      </c>
      <c r="C14" s="60">
        <f>SUM(D14:E14)</f>
        <v>670500</v>
      </c>
      <c r="D14" s="61">
        <v>558000</v>
      </c>
      <c r="E14" s="61">
        <v>112500</v>
      </c>
    </row>
    <row r="15" spans="1:5" ht="12.75">
      <c r="A15" s="59" t="s">
        <v>26</v>
      </c>
      <c r="B15" s="60">
        <v>1717000</v>
      </c>
      <c r="C15" s="60">
        <f>SUM(D15:E15)</f>
        <v>756267</v>
      </c>
      <c r="D15" s="61">
        <v>756267</v>
      </c>
      <c r="E15" s="61">
        <v>0</v>
      </c>
    </row>
    <row r="16" spans="1:5" ht="12.75">
      <c r="A16" s="59" t="s">
        <v>27</v>
      </c>
      <c r="B16" s="60">
        <v>1806000</v>
      </c>
      <c r="C16" s="60">
        <f>SUM(D16:E16)</f>
        <v>761500</v>
      </c>
      <c r="D16" s="61">
        <v>475000</v>
      </c>
      <c r="E16" s="61">
        <v>286500</v>
      </c>
    </row>
    <row r="17" spans="1:5" ht="12.75">
      <c r="A17" s="59" t="s">
        <v>8</v>
      </c>
      <c r="B17" s="62">
        <f>SUM(B5:B16)</f>
        <v>19865378</v>
      </c>
      <c r="C17" s="62">
        <f>SUM(C5:C16)</f>
        <v>8857267</v>
      </c>
      <c r="D17" s="62">
        <f>SUM(D5:D16)</f>
        <v>7507267</v>
      </c>
      <c r="E17" s="62">
        <f>SUM(E5:E16)</f>
        <v>1350000</v>
      </c>
    </row>
    <row r="18" spans="1:5" ht="12.75">
      <c r="A18" s="190"/>
      <c r="B18" s="191"/>
      <c r="C18" s="191" t="s">
        <v>0</v>
      </c>
      <c r="D18" s="191" t="s">
        <v>0</v>
      </c>
      <c r="E18" s="191" t="s">
        <v>0</v>
      </c>
    </row>
    <row r="19" spans="1:5" ht="11.25" customHeight="1">
      <c r="A19" s="69"/>
      <c r="B19" s="69"/>
      <c r="C19" s="11"/>
      <c r="D19" s="519" t="s">
        <v>0</v>
      </c>
      <c r="E19" s="192" t="s">
        <v>245</v>
      </c>
    </row>
    <row r="20" spans="1:5" ht="22.5">
      <c r="A20" s="58" t="s">
        <v>28</v>
      </c>
      <c r="B20" s="12" t="s">
        <v>238</v>
      </c>
      <c r="C20" s="12" t="s">
        <v>246</v>
      </c>
      <c r="D20" s="12" t="s">
        <v>35</v>
      </c>
      <c r="E20" s="12" t="s">
        <v>36</v>
      </c>
    </row>
    <row r="21" spans="1:5" ht="13.5" customHeight="1">
      <c r="A21" s="59" t="s">
        <v>16</v>
      </c>
      <c r="B21" s="184">
        <f>+B5/1329.5</f>
        <v>1134.2610003760813</v>
      </c>
      <c r="C21" s="63">
        <f aca="true" t="shared" si="1" ref="C21:C32">SUM(D21:E21)</f>
        <v>525.7615644979315</v>
      </c>
      <c r="D21" s="64">
        <f>+D5/1329.5</f>
        <v>440.7672057164348</v>
      </c>
      <c r="E21" s="64">
        <f>+E5/1329.5</f>
        <v>84.9943587814968</v>
      </c>
    </row>
    <row r="22" spans="1:5" ht="12.75">
      <c r="A22" s="59" t="s">
        <v>17</v>
      </c>
      <c r="B22" s="184">
        <f>+B6/1278.5</f>
        <v>1215.5651153695737</v>
      </c>
      <c r="C22" s="63">
        <f t="shared" si="1"/>
        <v>556.902620258115</v>
      </c>
      <c r="D22" s="64">
        <f>+D6/1278.5</f>
        <v>469.2999608916699</v>
      </c>
      <c r="E22" s="64">
        <f>+E6/1278.5</f>
        <v>87.60265936644505</v>
      </c>
    </row>
    <row r="23" spans="1:5" ht="12.75">
      <c r="A23" s="59" t="s">
        <v>18</v>
      </c>
      <c r="B23" s="184">
        <f>+B7/1346.2</f>
        <v>1251.6713712672708</v>
      </c>
      <c r="C23" s="63">
        <f t="shared" si="1"/>
        <v>473.1837765562324</v>
      </c>
      <c r="D23" s="64">
        <f>+D7/1346.2</f>
        <v>389.98662902986183</v>
      </c>
      <c r="E23" s="64">
        <f>+E7/1346.2</f>
        <v>83.19714752637053</v>
      </c>
    </row>
    <row r="24" spans="1:5" ht="12.75">
      <c r="A24" s="59" t="s">
        <v>19</v>
      </c>
      <c r="B24" s="184">
        <f>+B8/1384.4</f>
        <v>1085.8696908407974</v>
      </c>
      <c r="C24" s="63">
        <f>SUM(D24:E24)</f>
        <v>471.684484253106</v>
      </c>
      <c r="D24" s="64">
        <f>+D8/1384.4</f>
        <v>390.06067610517186</v>
      </c>
      <c r="E24" s="64">
        <f>+E8/1384.4</f>
        <v>81.62380814793411</v>
      </c>
    </row>
    <row r="25" spans="1:5" ht="12.75">
      <c r="A25" s="59" t="s">
        <v>20</v>
      </c>
      <c r="B25" s="184">
        <f>+B9/1355</f>
        <v>1225.0922509225093</v>
      </c>
      <c r="C25" s="63">
        <f>SUM(D25:E25)</f>
        <v>705.1660516605166</v>
      </c>
      <c r="D25" s="64">
        <f>+D9/1355</f>
        <v>622.140221402214</v>
      </c>
      <c r="E25" s="64">
        <f>+E9/1355</f>
        <v>83.02583025830258</v>
      </c>
    </row>
    <row r="26" spans="1:5" ht="12.75">
      <c r="A26" s="59" t="s">
        <v>21</v>
      </c>
      <c r="B26" s="184">
        <f>+B10/1333.7</f>
        <v>1242.4083377071304</v>
      </c>
      <c r="C26" s="63">
        <f t="shared" si="1"/>
        <v>467.12154157606653</v>
      </c>
      <c r="D26" s="64">
        <f>+D10/1333.7</f>
        <v>382.3948414186099</v>
      </c>
      <c r="E26" s="64">
        <f>+E10/1333.7</f>
        <v>84.72670015745669</v>
      </c>
    </row>
    <row r="27" spans="1:5" ht="12.75">
      <c r="A27" s="59" t="s">
        <v>22</v>
      </c>
      <c r="B27" s="184">
        <f>+B11/1321.2</f>
        <v>1263.2455343627005</v>
      </c>
      <c r="C27" s="63">
        <f t="shared" si="1"/>
        <v>539.6609143203149</v>
      </c>
      <c r="D27" s="64">
        <f>+D11/1321.2</f>
        <v>454.1326067211626</v>
      </c>
      <c r="E27" s="64">
        <f>+E11/1321.2</f>
        <v>85.52830759915228</v>
      </c>
    </row>
    <row r="28" spans="1:5" ht="12.75">
      <c r="A28" s="59" t="s">
        <v>23</v>
      </c>
      <c r="B28" s="184">
        <f>+B12/1347.3</f>
        <v>1243.2271951310029</v>
      </c>
      <c r="C28" s="63">
        <f t="shared" si="1"/>
        <v>668.002672010688</v>
      </c>
      <c r="D28" s="64">
        <f>+D12/1347.3</f>
        <v>630.8914124545387</v>
      </c>
      <c r="E28" s="64">
        <f>+E12/1347.3</f>
        <v>37.111259556149335</v>
      </c>
    </row>
    <row r="29" spans="1:5" s="445" customFormat="1" ht="12.75">
      <c r="A29" s="555" t="s">
        <v>24</v>
      </c>
      <c r="B29" s="556">
        <f>+B13/1342.2</f>
        <v>1268.812397556251</v>
      </c>
      <c r="C29" s="557">
        <f t="shared" si="1"/>
        <v>578.5277901952019</v>
      </c>
      <c r="D29" s="558">
        <f>+D13/1342.2</f>
        <v>494.71017732081657</v>
      </c>
      <c r="E29" s="558">
        <f>+E13/1342.2</f>
        <v>83.81761287438533</v>
      </c>
    </row>
    <row r="30" spans="1:5" ht="12.75">
      <c r="A30" s="59" t="s">
        <v>25</v>
      </c>
      <c r="B30" s="184">
        <f>+B14/1341.7</f>
        <v>1287.918312588507</v>
      </c>
      <c r="C30" s="63">
        <f t="shared" si="1"/>
        <v>499.739136915853</v>
      </c>
      <c r="D30" s="64">
        <f>+D14/1341.7</f>
        <v>415.8902884400387</v>
      </c>
      <c r="E30" s="64">
        <f>+E14/1341.7</f>
        <v>83.84884847581426</v>
      </c>
    </row>
    <row r="31" spans="1:5" ht="12.75">
      <c r="A31" s="59" t="s">
        <v>26</v>
      </c>
      <c r="B31" s="184">
        <f>+B15/1350</f>
        <v>1271.851851851852</v>
      </c>
      <c r="C31" s="63">
        <f t="shared" si="1"/>
        <v>560.1977777777778</v>
      </c>
      <c r="D31" s="64">
        <f>+D15/1350</f>
        <v>560.1977777777778</v>
      </c>
      <c r="E31" s="64">
        <f>+E15/1350</f>
        <v>0</v>
      </c>
    </row>
    <row r="32" spans="1:5" ht="12.75">
      <c r="A32" s="59" t="s">
        <v>27</v>
      </c>
      <c r="B32" s="184">
        <f>+B16/1341.8</f>
        <v>1345.953197197794</v>
      </c>
      <c r="C32" s="63">
        <f t="shared" si="1"/>
        <v>567.5212401252049</v>
      </c>
      <c r="D32" s="64">
        <f>+D16/1341.8</f>
        <v>354.00208674914296</v>
      </c>
      <c r="E32" s="64">
        <f>+E16/1341.8</f>
        <v>213.519153376062</v>
      </c>
    </row>
    <row r="33" spans="1:5" ht="12.75">
      <c r="A33" s="59" t="s">
        <v>8</v>
      </c>
      <c r="B33" s="183">
        <f>SUM(B21:B32)</f>
        <v>14835.876255171468</v>
      </c>
      <c r="C33" s="65">
        <f>SUM(C21:C32)</f>
        <v>6613.469570147008</v>
      </c>
      <c r="D33" s="65">
        <f>SUM(D21:D32)</f>
        <v>5604.473884027439</v>
      </c>
      <c r="E33" s="65">
        <f>SUM(E21:E32)</f>
        <v>1008.995686119569</v>
      </c>
    </row>
  </sheetData>
  <printOptions/>
  <pageMargins left="0.31496062992125984" right="0" top="1.07" bottom="0" header="0.5118110236220472" footer="0.35433070866141736"/>
  <pageSetup horizontalDpi="300" verticalDpi="300" orientation="landscape" paperSize="9" r:id="rId2"/>
  <headerFooter alignWithMargins="0">
    <oddFooter>&amp;C11</oddFooter>
  </headerFooter>
  <drawing r:id="rId1"/>
</worksheet>
</file>

<file path=xl/worksheets/sheet14.xml><?xml version="1.0" encoding="utf-8"?>
<worksheet xmlns="http://schemas.openxmlformats.org/spreadsheetml/2006/main" xmlns:r="http://schemas.openxmlformats.org/officeDocument/2006/relationships">
  <dimension ref="A1:E33"/>
  <sheetViews>
    <sheetView showGridLines="0" workbookViewId="0" topLeftCell="A7">
      <selection activeCell="E21" sqref="E21"/>
    </sheetView>
  </sheetViews>
  <sheetFormatPr defaultColWidth="9.00390625" defaultRowHeight="12.75"/>
  <cols>
    <col min="1" max="2" width="11.25390625" style="0" customWidth="1"/>
    <col min="3" max="3" width="16.125" style="0" customWidth="1"/>
    <col min="4" max="4" width="16.75390625" style="0" customWidth="1"/>
    <col min="5" max="5" width="15.625" style="0" customWidth="1"/>
  </cols>
  <sheetData>
    <row r="1" spans="1:2" s="6" customFormat="1" ht="15.75">
      <c r="A1" s="8" t="s">
        <v>449</v>
      </c>
      <c r="B1" s="8"/>
    </row>
    <row r="3" spans="1:5" ht="12.75">
      <c r="A3" s="69" t="s">
        <v>470</v>
      </c>
      <c r="B3" s="69"/>
      <c r="C3" s="10"/>
      <c r="D3" s="9"/>
      <c r="E3" s="192" t="s">
        <v>34</v>
      </c>
    </row>
    <row r="4" spans="1:5" ht="22.5">
      <c r="A4" s="58" t="s">
        <v>28</v>
      </c>
      <c r="B4" s="12" t="s">
        <v>238</v>
      </c>
      <c r="C4" s="12" t="s">
        <v>246</v>
      </c>
      <c r="D4" s="12" t="s">
        <v>35</v>
      </c>
      <c r="E4" s="12" t="s">
        <v>36</v>
      </c>
    </row>
    <row r="5" spans="1:5" ht="12.75">
      <c r="A5" s="59" t="s">
        <v>16</v>
      </c>
      <c r="B5" s="60">
        <v>1928000</v>
      </c>
      <c r="C5" s="60">
        <f aca="true" t="shared" si="0" ref="C5:C11">SUM(D5:E5)</f>
        <v>633000</v>
      </c>
      <c r="D5" s="61">
        <v>500000</v>
      </c>
      <c r="E5" s="61">
        <v>133000</v>
      </c>
    </row>
    <row r="6" spans="1:5" ht="12.75">
      <c r="A6" s="59" t="s">
        <v>17</v>
      </c>
      <c r="B6" s="60"/>
      <c r="C6" s="60">
        <f t="shared" si="0"/>
        <v>0</v>
      </c>
      <c r="D6" s="61"/>
      <c r="E6" s="61"/>
    </row>
    <row r="7" spans="1:5" ht="12.75">
      <c r="A7" s="59" t="s">
        <v>18</v>
      </c>
      <c r="B7" s="60"/>
      <c r="C7" s="60">
        <f t="shared" si="0"/>
        <v>0</v>
      </c>
      <c r="D7" s="61"/>
      <c r="E7" s="61"/>
    </row>
    <row r="8" spans="1:5" ht="12.75">
      <c r="A8" s="59" t="s">
        <v>19</v>
      </c>
      <c r="B8" s="60"/>
      <c r="C8" s="60">
        <f t="shared" si="0"/>
        <v>0</v>
      </c>
      <c r="D8" s="61"/>
      <c r="E8" s="61"/>
    </row>
    <row r="9" spans="1:5" ht="12.75">
      <c r="A9" s="59" t="s">
        <v>20</v>
      </c>
      <c r="B9" s="60"/>
      <c r="C9" s="60">
        <f t="shared" si="0"/>
        <v>0</v>
      </c>
      <c r="D9" s="61"/>
      <c r="E9" s="61"/>
    </row>
    <row r="10" spans="1:5" ht="12.75">
      <c r="A10" s="59" t="s">
        <v>21</v>
      </c>
      <c r="B10" s="60"/>
      <c r="C10" s="60">
        <f t="shared" si="0"/>
        <v>0</v>
      </c>
      <c r="D10" s="61"/>
      <c r="E10" s="61"/>
    </row>
    <row r="11" spans="1:5" ht="12.75">
      <c r="A11" s="59" t="s">
        <v>22</v>
      </c>
      <c r="B11" s="60"/>
      <c r="C11" s="60">
        <f t="shared" si="0"/>
        <v>0</v>
      </c>
      <c r="D11" s="61"/>
      <c r="E11" s="61"/>
    </row>
    <row r="12" spans="1:5" ht="12.75">
      <c r="A12" s="59" t="s">
        <v>23</v>
      </c>
      <c r="B12" s="60"/>
      <c r="C12" s="60">
        <f>SUM(D12:E12)</f>
        <v>0</v>
      </c>
      <c r="D12" s="61"/>
      <c r="E12" s="61"/>
    </row>
    <row r="13" spans="1:5" ht="12.75">
      <c r="A13" s="59" t="s">
        <v>24</v>
      </c>
      <c r="B13" s="60"/>
      <c r="C13" s="60">
        <f>SUM(D13:E13)</f>
        <v>0</v>
      </c>
      <c r="D13" s="61"/>
      <c r="E13" s="61"/>
    </row>
    <row r="14" spans="1:5" ht="12.75">
      <c r="A14" s="59" t="s">
        <v>25</v>
      </c>
      <c r="B14" s="60"/>
      <c r="C14" s="60">
        <f>SUM(D14:E14)</f>
        <v>0</v>
      </c>
      <c r="D14" s="61"/>
      <c r="E14" s="61"/>
    </row>
    <row r="15" spans="1:5" ht="12.75">
      <c r="A15" s="59" t="s">
        <v>26</v>
      </c>
      <c r="B15" s="60"/>
      <c r="C15" s="60">
        <f>SUM(D15:E15)</f>
        <v>0</v>
      </c>
      <c r="D15" s="61"/>
      <c r="E15" s="61"/>
    </row>
    <row r="16" spans="1:5" ht="12.75">
      <c r="A16" s="59" t="s">
        <v>27</v>
      </c>
      <c r="B16" s="60"/>
      <c r="C16" s="60">
        <f>SUM(D16:E16)</f>
        <v>0</v>
      </c>
      <c r="D16" s="61"/>
      <c r="E16" s="61"/>
    </row>
    <row r="17" spans="1:5" ht="12.75">
      <c r="A17" s="59" t="s">
        <v>8</v>
      </c>
      <c r="B17" s="62">
        <f>SUM(B5:B16)</f>
        <v>1928000</v>
      </c>
      <c r="C17" s="62">
        <f>SUM(C5:C16)</f>
        <v>633000</v>
      </c>
      <c r="D17" s="62">
        <f>SUM(D5:D16)</f>
        <v>500000</v>
      </c>
      <c r="E17" s="62">
        <f>SUM(E5:E16)</f>
        <v>133000</v>
      </c>
    </row>
    <row r="18" spans="1:5" ht="12.75">
      <c r="A18" s="190"/>
      <c r="B18" s="191"/>
      <c r="C18" s="191" t="s">
        <v>0</v>
      </c>
      <c r="D18" s="191" t="s">
        <v>0</v>
      </c>
      <c r="E18" s="191" t="s">
        <v>0</v>
      </c>
    </row>
    <row r="19" spans="1:5" ht="11.25" customHeight="1">
      <c r="A19" s="69"/>
      <c r="B19" s="69"/>
      <c r="C19" s="11"/>
      <c r="D19" s="519" t="s">
        <v>0</v>
      </c>
      <c r="E19" s="192" t="s">
        <v>245</v>
      </c>
    </row>
    <row r="20" spans="1:5" ht="22.5">
      <c r="A20" s="58" t="s">
        <v>28</v>
      </c>
      <c r="B20" s="12" t="s">
        <v>238</v>
      </c>
      <c r="C20" s="12" t="s">
        <v>246</v>
      </c>
      <c r="D20" s="12" t="s">
        <v>35</v>
      </c>
      <c r="E20" s="12" t="s">
        <v>36</v>
      </c>
    </row>
    <row r="21" spans="1:5" ht="13.5" customHeight="1">
      <c r="A21" s="59" t="s">
        <v>16</v>
      </c>
      <c r="B21" s="184">
        <f>+B5/1319.9</f>
        <v>1460.7167209637093</v>
      </c>
      <c r="C21" s="63">
        <f aca="true" t="shared" si="1" ref="C21:C26">SUM(D21:E21)</f>
        <v>479.5817864989772</v>
      </c>
      <c r="D21" s="64">
        <f>+D5/1319.9</f>
        <v>378.8165770134101</v>
      </c>
      <c r="E21" s="64">
        <f>+E5/1319.9</f>
        <v>100.76520948556708</v>
      </c>
    </row>
    <row r="22" spans="1:5" ht="12.75">
      <c r="A22" s="59" t="s">
        <v>17</v>
      </c>
      <c r="B22" s="184">
        <f>+B6/1278.5</f>
        <v>0</v>
      </c>
      <c r="C22" s="63">
        <f t="shared" si="1"/>
        <v>0</v>
      </c>
      <c r="D22" s="64">
        <f>+D6/1278.5</f>
        <v>0</v>
      </c>
      <c r="E22" s="64">
        <f>+E6/1278.5</f>
        <v>0</v>
      </c>
    </row>
    <row r="23" spans="1:5" ht="12.75">
      <c r="A23" s="59" t="s">
        <v>18</v>
      </c>
      <c r="B23" s="184">
        <f>+B7/1346.2</f>
        <v>0</v>
      </c>
      <c r="C23" s="63">
        <f t="shared" si="1"/>
        <v>0</v>
      </c>
      <c r="D23" s="64">
        <f>+D7/1346.2</f>
        <v>0</v>
      </c>
      <c r="E23" s="64">
        <f>+E7/1346.2</f>
        <v>0</v>
      </c>
    </row>
    <row r="24" spans="1:5" ht="12.75">
      <c r="A24" s="59" t="s">
        <v>19</v>
      </c>
      <c r="B24" s="184">
        <f>+B8/1384.4</f>
        <v>0</v>
      </c>
      <c r="C24" s="63">
        <f>SUM(D24:E24)</f>
        <v>0</v>
      </c>
      <c r="D24" s="64">
        <f>+D8/1384.4</f>
        <v>0</v>
      </c>
      <c r="E24" s="64">
        <f>+E8/1384.4</f>
        <v>0</v>
      </c>
    </row>
    <row r="25" spans="1:5" ht="12.75">
      <c r="A25" s="59" t="s">
        <v>20</v>
      </c>
      <c r="B25" s="184">
        <f>+B9/1355</f>
        <v>0</v>
      </c>
      <c r="C25" s="63">
        <f>SUM(D25:E25)</f>
        <v>0</v>
      </c>
      <c r="D25" s="64">
        <f>+D9/1355</f>
        <v>0</v>
      </c>
      <c r="E25" s="64">
        <f>+E9/1355</f>
        <v>0</v>
      </c>
    </row>
    <row r="26" spans="1:5" ht="12.75">
      <c r="A26" s="59" t="s">
        <v>21</v>
      </c>
      <c r="B26" s="184">
        <f>+B10/1333.7</f>
        <v>0</v>
      </c>
      <c r="C26" s="63">
        <f t="shared" si="1"/>
        <v>0</v>
      </c>
      <c r="D26" s="64">
        <f>+D10/1333.7</f>
        <v>0</v>
      </c>
      <c r="E26" s="64">
        <f>+E10/1333.7</f>
        <v>0</v>
      </c>
    </row>
    <row r="27" spans="1:5" ht="12.75">
      <c r="A27" s="59" t="s">
        <v>22</v>
      </c>
      <c r="B27" s="184">
        <f>+B11/1321.2</f>
        <v>0</v>
      </c>
      <c r="C27" s="63">
        <f aca="true" t="shared" si="2" ref="C27:C32">SUM(D27:E27)</f>
        <v>0</v>
      </c>
      <c r="D27" s="64">
        <f>+D11/1321.2</f>
        <v>0</v>
      </c>
      <c r="E27" s="64">
        <f>+E11/1321.2</f>
        <v>0</v>
      </c>
    </row>
    <row r="28" spans="1:5" ht="12.75">
      <c r="A28" s="59" t="s">
        <v>23</v>
      </c>
      <c r="B28" s="184">
        <f>+B12/1347.3</f>
        <v>0</v>
      </c>
      <c r="C28" s="63">
        <f t="shared" si="2"/>
        <v>0</v>
      </c>
      <c r="D28" s="64">
        <f>+D12/1347.3</f>
        <v>0</v>
      </c>
      <c r="E28" s="64">
        <f>+E12/1347.3</f>
        <v>0</v>
      </c>
    </row>
    <row r="29" spans="1:5" s="445" customFormat="1" ht="12.75">
      <c r="A29" s="555" t="s">
        <v>24</v>
      </c>
      <c r="B29" s="556">
        <f>+B13/1342.2</f>
        <v>0</v>
      </c>
      <c r="C29" s="557">
        <f t="shared" si="2"/>
        <v>0</v>
      </c>
      <c r="D29" s="558">
        <f>+D13/1342.2</f>
        <v>0</v>
      </c>
      <c r="E29" s="558">
        <f>+E13/1342.2</f>
        <v>0</v>
      </c>
    </row>
    <row r="30" spans="1:5" ht="12.75">
      <c r="A30" s="59" t="s">
        <v>25</v>
      </c>
      <c r="B30" s="184">
        <f>+B14/1341.7</f>
        <v>0</v>
      </c>
      <c r="C30" s="63">
        <f t="shared" si="2"/>
        <v>0</v>
      </c>
      <c r="D30" s="64">
        <f>+D14/1341.7</f>
        <v>0</v>
      </c>
      <c r="E30" s="64">
        <f>+E14/1341.7</f>
        <v>0</v>
      </c>
    </row>
    <row r="31" spans="1:5" ht="12.75">
      <c r="A31" s="59" t="s">
        <v>26</v>
      </c>
      <c r="B31" s="184">
        <f>+B15/1350</f>
        <v>0</v>
      </c>
      <c r="C31" s="63">
        <f t="shared" si="2"/>
        <v>0</v>
      </c>
      <c r="D31" s="64">
        <f>+D15/1350</f>
        <v>0</v>
      </c>
      <c r="E31" s="64">
        <f>+E15/1350</f>
        <v>0</v>
      </c>
    </row>
    <row r="32" spans="1:5" ht="12.75">
      <c r="A32" s="59" t="s">
        <v>27</v>
      </c>
      <c r="B32" s="184">
        <f>+B16/1341.8</f>
        <v>0</v>
      </c>
      <c r="C32" s="63">
        <f t="shared" si="2"/>
        <v>0</v>
      </c>
      <c r="D32" s="64">
        <f>+D16/1341.8</f>
        <v>0</v>
      </c>
      <c r="E32" s="64">
        <f>+E16/1341.8</f>
        <v>0</v>
      </c>
    </row>
    <row r="33" spans="1:5" ht="12.75">
      <c r="A33" s="59" t="s">
        <v>8</v>
      </c>
      <c r="B33" s="183">
        <f>SUM(B21:B32)</f>
        <v>1460.7167209637093</v>
      </c>
      <c r="C33" s="65">
        <f>SUM(C21:C32)</f>
        <v>479.5817864989772</v>
      </c>
      <c r="D33" s="65">
        <f>SUM(D21:D32)</f>
        <v>378.8165770134101</v>
      </c>
      <c r="E33" s="65">
        <f>SUM(E21:E32)</f>
        <v>100.76520948556708</v>
      </c>
    </row>
  </sheetData>
  <printOptions horizontalCentered="1" verticalCentered="1"/>
  <pageMargins left="0.28" right="0.43" top="0.96" bottom="0.49" header="0.5118110236220472" footer="0.5118110236220472"/>
  <pageSetup horizontalDpi="300" verticalDpi="300" orientation="landscape" paperSize="9" r:id="rId2"/>
  <headerFooter alignWithMargins="0">
    <oddFooter>&amp;C12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showGridLines="0" workbookViewId="0" topLeftCell="D1">
      <selection activeCell="G2" sqref="G2"/>
    </sheetView>
  </sheetViews>
  <sheetFormatPr defaultColWidth="9.00390625" defaultRowHeight="12.75"/>
  <cols>
    <col min="1" max="1" width="16.125" style="6" customWidth="1"/>
    <col min="2" max="2" width="12.75390625" style="6" customWidth="1"/>
    <col min="3" max="3" width="15.625" style="6" customWidth="1"/>
    <col min="4" max="6" width="14.125" style="6" customWidth="1"/>
    <col min="7" max="9" width="14.625" style="6" customWidth="1"/>
    <col min="10" max="10" width="11.875" style="6" customWidth="1"/>
    <col min="11" max="11" width="14.125" style="6" customWidth="1"/>
    <col min="12" max="12" width="10.00390625" style="6" customWidth="1"/>
    <col min="13" max="16384" width="9.125" style="6" customWidth="1"/>
  </cols>
  <sheetData>
    <row r="1" spans="2:4" ht="15.75">
      <c r="B1" s="374" t="s">
        <v>199</v>
      </c>
      <c r="C1" s="66"/>
      <c r="D1" s="66"/>
    </row>
    <row r="2" spans="2:11" ht="21" customHeight="1" thickBot="1">
      <c r="B2" s="449" t="s">
        <v>471</v>
      </c>
      <c r="C2" s="449"/>
      <c r="D2" s="450"/>
      <c r="E2" s="450"/>
      <c r="F2" s="15"/>
      <c r="G2" s="15"/>
      <c r="H2" s="15"/>
      <c r="I2" s="15"/>
      <c r="J2" s="15"/>
      <c r="K2" s="15"/>
    </row>
    <row r="3" spans="1:11" ht="30.75" customHeight="1">
      <c r="A3" s="151"/>
      <c r="B3" s="451" t="s">
        <v>0</v>
      </c>
      <c r="C3" s="452">
        <v>1999</v>
      </c>
      <c r="D3" s="453">
        <v>2000</v>
      </c>
      <c r="E3" s="452">
        <v>2001</v>
      </c>
      <c r="F3" s="454">
        <v>2002</v>
      </c>
      <c r="G3" s="454">
        <v>2003</v>
      </c>
      <c r="H3" s="454">
        <v>2004</v>
      </c>
      <c r="I3" s="563" t="s">
        <v>507</v>
      </c>
      <c r="J3" s="505"/>
      <c r="K3" s="506"/>
    </row>
    <row r="4" spans="1:11" ht="18.75" customHeight="1">
      <c r="A4" s="151"/>
      <c r="B4" s="455" t="s">
        <v>147</v>
      </c>
      <c r="C4" s="456">
        <f aca="true" t="shared" si="0" ref="C4:I4">+C5+C6+C7+C8+C9</f>
        <v>6355639</v>
      </c>
      <c r="D4" s="457">
        <f t="shared" si="0"/>
        <v>6565167</v>
      </c>
      <c r="E4" s="456">
        <f t="shared" si="0"/>
        <v>6136107</v>
      </c>
      <c r="F4" s="458">
        <f t="shared" si="0"/>
        <v>6563187</v>
      </c>
      <c r="G4" s="458">
        <f t="shared" si="0"/>
        <v>6750460</v>
      </c>
      <c r="H4" s="458">
        <f t="shared" si="0"/>
        <v>6952848</v>
      </c>
      <c r="I4" s="458">
        <f t="shared" si="0"/>
        <v>7544167</v>
      </c>
      <c r="J4" s="459" t="s">
        <v>148</v>
      </c>
      <c r="K4" s="88"/>
    </row>
    <row r="5" spans="1:12" ht="23.25" customHeight="1">
      <c r="A5" s="151"/>
      <c r="B5" s="455" t="s">
        <v>37</v>
      </c>
      <c r="C5" s="460">
        <v>5005403</v>
      </c>
      <c r="D5" s="461">
        <v>5254125</v>
      </c>
      <c r="E5" s="460">
        <v>4886881</v>
      </c>
      <c r="F5" s="462">
        <v>5223283</v>
      </c>
      <c r="G5" s="462">
        <v>5615238</v>
      </c>
      <c r="H5" s="462">
        <v>6181251</v>
      </c>
      <c r="I5" s="462">
        <v>6803862</v>
      </c>
      <c r="J5" s="463" t="s">
        <v>114</v>
      </c>
      <c r="K5" s="88"/>
      <c r="L5" s="6" t="s">
        <v>0</v>
      </c>
    </row>
    <row r="6" spans="1:12" ht="15.75">
      <c r="A6" s="151"/>
      <c r="B6" s="464" t="s">
        <v>38</v>
      </c>
      <c r="C6" s="465">
        <v>229816</v>
      </c>
      <c r="D6" s="466">
        <v>253301</v>
      </c>
      <c r="E6" s="465">
        <v>191187</v>
      </c>
      <c r="F6" s="467">
        <v>215259</v>
      </c>
      <c r="G6" s="467">
        <v>231915</v>
      </c>
      <c r="H6" s="467">
        <v>219000</v>
      </c>
      <c r="I6" s="467">
        <v>256590</v>
      </c>
      <c r="J6" s="468" t="s">
        <v>115</v>
      </c>
      <c r="K6" s="89"/>
      <c r="L6" s="6" t="s">
        <v>0</v>
      </c>
    </row>
    <row r="7" spans="1:11" ht="21.75" customHeight="1">
      <c r="A7" s="151"/>
      <c r="B7" s="464" t="s">
        <v>337</v>
      </c>
      <c r="C7" s="465">
        <v>901265</v>
      </c>
      <c r="D7" s="466">
        <v>843957</v>
      </c>
      <c r="E7" s="465">
        <v>888675</v>
      </c>
      <c r="F7" s="467">
        <v>942024</v>
      </c>
      <c r="G7" s="467">
        <v>697630</v>
      </c>
      <c r="H7" s="467">
        <v>327962</v>
      </c>
      <c r="I7" s="543">
        <v>267720</v>
      </c>
      <c r="J7" s="468" t="s">
        <v>116</v>
      </c>
      <c r="K7" s="89"/>
    </row>
    <row r="8" spans="1:11" ht="15.75">
      <c r="A8" s="151"/>
      <c r="B8" s="464" t="s">
        <v>39</v>
      </c>
      <c r="C8" s="465">
        <v>25329</v>
      </c>
      <c r="D8" s="466">
        <v>29109</v>
      </c>
      <c r="E8" s="465">
        <v>27058</v>
      </c>
      <c r="F8" s="467">
        <v>33458</v>
      </c>
      <c r="G8" s="467">
        <v>40409</v>
      </c>
      <c r="H8" s="467">
        <v>47918</v>
      </c>
      <c r="I8" s="467">
        <v>27995</v>
      </c>
      <c r="J8" s="468" t="s">
        <v>118</v>
      </c>
      <c r="K8" s="89"/>
    </row>
    <row r="9" spans="1:11" ht="15.75">
      <c r="A9" s="151"/>
      <c r="B9" s="464" t="s">
        <v>40</v>
      </c>
      <c r="C9" s="465">
        <v>193826</v>
      </c>
      <c r="D9" s="466">
        <v>184675</v>
      </c>
      <c r="E9" s="465">
        <v>142306</v>
      </c>
      <c r="F9" s="467">
        <v>149163</v>
      </c>
      <c r="G9" s="467">
        <v>165268</v>
      </c>
      <c r="H9" s="467">
        <v>176717</v>
      </c>
      <c r="I9" s="467">
        <v>188000</v>
      </c>
      <c r="J9" s="468" t="s">
        <v>119</v>
      </c>
      <c r="K9" s="89"/>
    </row>
    <row r="10" spans="1:11" ht="25.5">
      <c r="A10" s="151"/>
      <c r="B10" s="464" t="s">
        <v>41</v>
      </c>
      <c r="C10" s="456">
        <v>3148826</v>
      </c>
      <c r="D10" s="457">
        <v>3339327</v>
      </c>
      <c r="E10" s="456">
        <v>3560638</v>
      </c>
      <c r="F10" s="458">
        <v>3747573</v>
      </c>
      <c r="G10" s="458">
        <v>3935523</v>
      </c>
      <c r="H10" s="458">
        <v>4120866</v>
      </c>
      <c r="I10" s="458">
        <v>4308186</v>
      </c>
      <c r="J10" s="469" t="s">
        <v>120</v>
      </c>
      <c r="K10" s="89"/>
    </row>
    <row r="11" spans="1:11" ht="25.5">
      <c r="A11" s="151"/>
      <c r="B11" s="464" t="s">
        <v>42</v>
      </c>
      <c r="C11" s="456">
        <v>21469875</v>
      </c>
      <c r="D11" s="457">
        <v>22541181</v>
      </c>
      <c r="E11" s="456">
        <f>+E5*3.17+((2418992+61649)*2.23)+(E9*4)</f>
        <v>21592466.2</v>
      </c>
      <c r="F11" s="458">
        <f>+F5*3.17+((2555965+62542)*2.23)+(F9*4)</f>
        <v>22993729.72</v>
      </c>
      <c r="G11" s="458">
        <f>+G5*3.17+((2694834+62709)*2.23)+(G9*4)</f>
        <v>24610697.35</v>
      </c>
      <c r="H11" s="458">
        <f>+H5*3.17+((2838422+63071)*2.23)+(H9*4)</f>
        <v>26771763.06</v>
      </c>
      <c r="I11" s="458">
        <f>+I5*3.17+((62700+2988054)*2.23)+(I9*4)</f>
        <v>29123423.96</v>
      </c>
      <c r="J11" s="469" t="s">
        <v>117</v>
      </c>
      <c r="K11" s="89"/>
    </row>
    <row r="12" spans="1:11" ht="37.5" customHeight="1" thickBot="1">
      <c r="A12" s="151"/>
      <c r="B12" s="470" t="s">
        <v>43</v>
      </c>
      <c r="C12" s="471">
        <f aca="true" t="shared" si="1" ref="C12:I12">+C4+C10+C11</f>
        <v>30974340</v>
      </c>
      <c r="D12" s="472">
        <f t="shared" si="1"/>
        <v>32445675</v>
      </c>
      <c r="E12" s="471">
        <f t="shared" si="1"/>
        <v>31289211.2</v>
      </c>
      <c r="F12" s="473">
        <f t="shared" si="1"/>
        <v>33304489.72</v>
      </c>
      <c r="G12" s="473">
        <f t="shared" si="1"/>
        <v>35296680.35</v>
      </c>
      <c r="H12" s="473">
        <f t="shared" si="1"/>
        <v>37845477.06</v>
      </c>
      <c r="I12" s="473">
        <f t="shared" si="1"/>
        <v>40975776.96</v>
      </c>
      <c r="J12" s="680" t="s">
        <v>121</v>
      </c>
      <c r="K12" s="681"/>
    </row>
    <row r="13" spans="1:2" ht="20.25" customHeight="1" thickBot="1">
      <c r="A13" s="682" t="s">
        <v>151</v>
      </c>
      <c r="B13" s="682"/>
    </row>
    <row r="14" spans="1:10" ht="15.75">
      <c r="A14" s="94" t="s">
        <v>149</v>
      </c>
      <c r="B14" s="95" t="s">
        <v>150</v>
      </c>
      <c r="F14" s="235" t="s">
        <v>0</v>
      </c>
      <c r="G14" s="235"/>
      <c r="H14" s="235"/>
      <c r="I14" s="235" t="s">
        <v>0</v>
      </c>
      <c r="J14" s="6" t="s">
        <v>0</v>
      </c>
    </row>
    <row r="15" spans="1:2" ht="13.5" customHeight="1">
      <c r="A15" s="92">
        <v>1960</v>
      </c>
      <c r="B15" s="97">
        <v>24.3</v>
      </c>
    </row>
    <row r="16" spans="1:2" ht="13.5" customHeight="1">
      <c r="A16" s="92">
        <v>1965</v>
      </c>
      <c r="B16" s="97">
        <v>16.88</v>
      </c>
    </row>
    <row r="17" spans="1:2" ht="13.5" customHeight="1">
      <c r="A17" s="92">
        <v>1970</v>
      </c>
      <c r="B17" s="97">
        <v>9.03</v>
      </c>
    </row>
    <row r="18" spans="1:2" ht="13.5" customHeight="1">
      <c r="A18" s="92">
        <v>1975</v>
      </c>
      <c r="B18" s="97">
        <v>6.29</v>
      </c>
    </row>
    <row r="19" spans="1:2" ht="13.5" customHeight="1">
      <c r="A19" s="92">
        <v>1980</v>
      </c>
      <c r="B19" s="97">
        <v>3.47</v>
      </c>
    </row>
    <row r="20" spans="1:2" ht="13.5" customHeight="1">
      <c r="A20" s="92">
        <v>1985</v>
      </c>
      <c r="B20" s="97">
        <v>2.45</v>
      </c>
    </row>
    <row r="21" spans="1:2" ht="13.5" customHeight="1">
      <c r="A21" s="92">
        <v>1990</v>
      </c>
      <c r="B21" s="97">
        <v>2.39</v>
      </c>
    </row>
    <row r="22" spans="1:2" ht="13.5" customHeight="1">
      <c r="A22" s="92">
        <v>1995</v>
      </c>
      <c r="B22" s="97">
        <v>2.44</v>
      </c>
    </row>
    <row r="23" spans="1:2" ht="13.5" customHeight="1">
      <c r="A23" s="92">
        <v>1999</v>
      </c>
      <c r="B23" s="97">
        <f>+C4/C10</f>
        <v>2.0184154348319026</v>
      </c>
    </row>
    <row r="24" spans="1:2" ht="13.5" customHeight="1">
      <c r="A24" s="92">
        <v>2000</v>
      </c>
      <c r="B24" s="97">
        <f>+D4/D10</f>
        <v>1.9660150084133718</v>
      </c>
    </row>
    <row r="25" spans="1:2" ht="13.5" customHeight="1">
      <c r="A25" s="92">
        <v>2001</v>
      </c>
      <c r="B25" s="97">
        <f>+E4/E10</f>
        <v>1.7233167202057609</v>
      </c>
    </row>
    <row r="26" spans="1:2" ht="13.5" customHeight="1">
      <c r="A26" s="92">
        <v>2002</v>
      </c>
      <c r="B26" s="97">
        <f>+F4/F10</f>
        <v>1.7513166521372632</v>
      </c>
    </row>
    <row r="27" spans="1:2" ht="13.5" customHeight="1">
      <c r="A27" s="92">
        <v>2003</v>
      </c>
      <c r="B27" s="97">
        <f>+G4/G10</f>
        <v>1.7152637654512501</v>
      </c>
    </row>
    <row r="28" spans="1:2" ht="14.25" customHeight="1">
      <c r="A28" s="92">
        <v>2004</v>
      </c>
      <c r="B28" s="97">
        <f>+H4/H10</f>
        <v>1.6872298201397473</v>
      </c>
    </row>
    <row r="29" spans="1:2" ht="14.25" customHeight="1" thickBot="1">
      <c r="A29" s="93">
        <v>2005</v>
      </c>
      <c r="B29" s="98">
        <f>+I4/I10</f>
        <v>1.7511237908483988</v>
      </c>
    </row>
    <row r="30" spans="1:12" ht="56.25" customHeight="1">
      <c r="A30" s="683" t="s">
        <v>152</v>
      </c>
      <c r="B30" s="683"/>
      <c r="D30" s="684" t="s">
        <v>348</v>
      </c>
      <c r="E30" s="685"/>
      <c r="F30" s="685"/>
      <c r="G30" s="685"/>
      <c r="H30" s="685"/>
      <c r="I30" s="685"/>
      <c r="J30" s="685"/>
      <c r="K30" s="685"/>
      <c r="L30" s="525"/>
    </row>
    <row r="31" ht="47.25" customHeight="1"/>
  </sheetData>
  <mergeCells count="4">
    <mergeCell ref="J12:K12"/>
    <mergeCell ref="A13:B13"/>
    <mergeCell ref="A30:B30"/>
    <mergeCell ref="D30:K30"/>
  </mergeCells>
  <printOptions horizontalCentered="1" verticalCentered="1"/>
  <pageMargins left="0.32" right="0.43" top="0.81" bottom="0.45" header="0.32" footer="0.18"/>
  <pageSetup fitToHeight="1" fitToWidth="1" horizontalDpi="300" verticalDpi="300" orientation="landscape" paperSize="9" scale="85" r:id="rId2"/>
  <headerFooter alignWithMargins="0">
    <oddFooter>&amp;C13</oddFooter>
  </headerFooter>
  <drawing r:id="rId1"/>
</worksheet>
</file>

<file path=xl/worksheets/sheet16.xml><?xml version="1.0" encoding="utf-8"?>
<worksheet xmlns="http://schemas.openxmlformats.org/spreadsheetml/2006/main" xmlns:r="http://schemas.openxmlformats.org/officeDocument/2006/relationships">
  <dimension ref="A1:E29"/>
  <sheetViews>
    <sheetView showGridLines="0" tabSelected="1" workbookViewId="0" topLeftCell="A1">
      <selection activeCell="E3" sqref="E3"/>
    </sheetView>
  </sheetViews>
  <sheetFormatPr defaultColWidth="9.00390625" defaultRowHeight="12.75"/>
  <cols>
    <col min="1" max="1" width="22.375" style="0" customWidth="1"/>
    <col min="2" max="2" width="19.75390625" style="0" customWidth="1"/>
    <col min="3" max="3" width="18.00390625" style="0" customWidth="1"/>
    <col min="4" max="5" width="13.625" style="0" bestFit="1" customWidth="1"/>
  </cols>
  <sheetData>
    <row r="1" spans="1:5" ht="15.75">
      <c r="A1" s="8" t="s">
        <v>243</v>
      </c>
      <c r="B1" s="35"/>
      <c r="C1" s="35"/>
      <c r="D1" s="35"/>
      <c r="E1" s="35"/>
    </row>
    <row r="2" spans="1:5" ht="18.75" customHeight="1" thickBot="1">
      <c r="A2" s="57" t="s">
        <v>472</v>
      </c>
      <c r="B2" s="35"/>
      <c r="C2" s="35"/>
      <c r="D2" s="35"/>
      <c r="E2" s="35"/>
    </row>
    <row r="3" spans="1:5" ht="14.25">
      <c r="A3" s="334" t="s">
        <v>450</v>
      </c>
      <c r="B3" s="195"/>
      <c r="C3" s="197"/>
      <c r="E3" s="35"/>
    </row>
    <row r="4" spans="1:5" ht="18" customHeight="1">
      <c r="A4" s="237" t="s">
        <v>240</v>
      </c>
      <c r="B4" s="418" t="s">
        <v>451</v>
      </c>
      <c r="C4" s="198" t="s">
        <v>500</v>
      </c>
      <c r="E4" s="13" t="s">
        <v>0</v>
      </c>
    </row>
    <row r="5" spans="1:5" ht="17.25" customHeight="1">
      <c r="A5" s="237" t="s">
        <v>241</v>
      </c>
      <c r="B5" s="236" t="s">
        <v>452</v>
      </c>
      <c r="C5" s="198" t="s">
        <v>453</v>
      </c>
      <c r="E5" t="s">
        <v>0</v>
      </c>
    </row>
    <row r="6" spans="1:5" ht="15">
      <c r="A6" s="238" t="s">
        <v>524</v>
      </c>
      <c r="B6" s="193"/>
      <c r="C6" s="199"/>
      <c r="E6" t="s">
        <v>0</v>
      </c>
    </row>
    <row r="7" spans="1:5" ht="17.25" customHeight="1">
      <c r="A7" s="237" t="s">
        <v>242</v>
      </c>
      <c r="B7" s="570">
        <v>481440000</v>
      </c>
      <c r="C7" s="198" t="s">
        <v>509</v>
      </c>
      <c r="E7" s="15"/>
    </row>
    <row r="8" spans="1:3" ht="12.75">
      <c r="A8" s="281" t="s">
        <v>244</v>
      </c>
      <c r="B8" s="194"/>
      <c r="C8" s="200"/>
    </row>
    <row r="9" spans="1:3" ht="13.5" thickBot="1">
      <c r="A9" s="333" t="s">
        <v>510</v>
      </c>
      <c r="B9" s="196"/>
      <c r="C9" s="201"/>
    </row>
    <row r="12" ht="12.75">
      <c r="E12" t="s">
        <v>0</v>
      </c>
    </row>
    <row r="13" spans="1:5" ht="15.75">
      <c r="A13" s="8" t="s">
        <v>108</v>
      </c>
      <c r="E13" t="s">
        <v>0</v>
      </c>
    </row>
    <row r="14" ht="19.5" customHeight="1" thickBot="1">
      <c r="A14" s="57" t="s">
        <v>473</v>
      </c>
    </row>
    <row r="15" spans="1:5" ht="12.75">
      <c r="A15" s="406"/>
      <c r="B15" s="407" t="s">
        <v>220</v>
      </c>
      <c r="C15" s="407" t="s">
        <v>275</v>
      </c>
      <c r="D15" s="407" t="s">
        <v>344</v>
      </c>
      <c r="E15" s="408" t="s">
        <v>411</v>
      </c>
    </row>
    <row r="16" spans="1:5" ht="19.5" customHeight="1">
      <c r="A16" s="409" t="s">
        <v>219</v>
      </c>
      <c r="B16" s="410">
        <v>142306</v>
      </c>
      <c r="C16" s="410">
        <v>149163</v>
      </c>
      <c r="D16" s="410">
        <v>158034</v>
      </c>
      <c r="E16" s="411">
        <v>176717</v>
      </c>
    </row>
    <row r="17" spans="1:5" ht="21" customHeight="1">
      <c r="A17" s="409" t="s">
        <v>45</v>
      </c>
      <c r="B17" s="410">
        <v>569224</v>
      </c>
      <c r="C17" s="410">
        <f>+C16*4</f>
        <v>596652</v>
      </c>
      <c r="D17" s="410">
        <f>+D16*4</f>
        <v>632136</v>
      </c>
      <c r="E17" s="411">
        <f>+E16*4</f>
        <v>706868</v>
      </c>
    </row>
    <row r="18" spans="1:5" ht="21" customHeight="1">
      <c r="A18" s="409" t="s">
        <v>347</v>
      </c>
      <c r="B18" s="410">
        <f>SUM(B16:B17)</f>
        <v>711530</v>
      </c>
      <c r="C18" s="410">
        <f>SUM(C16:C17)</f>
        <v>745815</v>
      </c>
      <c r="D18" s="410">
        <f>SUM(D16:D17)</f>
        <v>790170</v>
      </c>
      <c r="E18" s="411">
        <f>SUM(E16:E17)</f>
        <v>883585</v>
      </c>
    </row>
    <row r="19" spans="1:5" ht="53.25" customHeight="1" thickBot="1">
      <c r="A19" s="412" t="s">
        <v>342</v>
      </c>
      <c r="B19" s="413">
        <v>31500000</v>
      </c>
      <c r="C19" s="413">
        <v>49137494</v>
      </c>
      <c r="D19" s="413">
        <f>+B25</f>
        <v>68702373</v>
      </c>
      <c r="E19" s="414">
        <f>+B27</f>
        <v>66622500</v>
      </c>
    </row>
    <row r="20" ht="13.5" thickBot="1"/>
    <row r="21" spans="1:2" ht="52.5" customHeight="1">
      <c r="A21" s="164" t="s">
        <v>251</v>
      </c>
      <c r="B21" s="165" t="s">
        <v>223</v>
      </c>
    </row>
    <row r="22" spans="1:3" ht="24.75" customHeight="1">
      <c r="A22" s="166" t="s">
        <v>221</v>
      </c>
      <c r="B22" s="167">
        <f>+(9262400*0.3)*15</f>
        <v>41680800</v>
      </c>
      <c r="C22" s="152"/>
    </row>
    <row r="23" spans="1:3" ht="24.75" customHeight="1">
      <c r="A23" s="166" t="s">
        <v>222</v>
      </c>
      <c r="B23" s="167">
        <f>+(10919443*0.3)*15</f>
        <v>49137493.5</v>
      </c>
      <c r="C23" s="152"/>
    </row>
    <row r="24" spans="1:5" ht="24.75" customHeight="1">
      <c r="A24" s="166" t="s">
        <v>188</v>
      </c>
      <c r="B24" s="167">
        <f>+(13103332*0.3)*15</f>
        <v>58964993.99999999</v>
      </c>
      <c r="C24" s="152"/>
      <c r="D24" s="6"/>
      <c r="E24" s="6"/>
    </row>
    <row r="25" spans="1:5" ht="24.75" customHeight="1">
      <c r="A25" s="166" t="s">
        <v>332</v>
      </c>
      <c r="B25" s="167">
        <f>+(15267194*0.3)*15</f>
        <v>68702373</v>
      </c>
      <c r="C25" s="152"/>
      <c r="D25" s="15"/>
      <c r="E25" s="15"/>
    </row>
    <row r="26" spans="1:5" ht="24.75" customHeight="1">
      <c r="A26" s="166" t="s">
        <v>355</v>
      </c>
      <c r="B26" s="167">
        <f>+(18321000*0.3)*15</f>
        <v>82444500</v>
      </c>
      <c r="C26" s="35"/>
      <c r="D26" s="35"/>
      <c r="E26" s="35"/>
    </row>
    <row r="27" spans="1:5" ht="24" customHeight="1">
      <c r="A27" s="166" t="s">
        <v>356</v>
      </c>
      <c r="B27" s="167">
        <f>+(14805000*0.3)*15</f>
        <v>66622500</v>
      </c>
      <c r="C27" s="35"/>
      <c r="D27" s="35"/>
      <c r="E27" s="35"/>
    </row>
    <row r="28" spans="1:2" ht="21" customHeight="1">
      <c r="A28" s="166" t="s">
        <v>376</v>
      </c>
      <c r="B28" s="167">
        <f>+(16290000*0.3)*15</f>
        <v>73305000</v>
      </c>
    </row>
    <row r="29" spans="1:2" ht="24.75" customHeight="1" thickBot="1">
      <c r="A29" s="168" t="s">
        <v>455</v>
      </c>
      <c r="B29" s="169">
        <f>+(17700000*0.3)*15</f>
        <v>79650000</v>
      </c>
    </row>
  </sheetData>
  <printOptions horizontalCentered="1"/>
  <pageMargins left="0.83" right="0.37" top="0.92" bottom="0" header="0" footer="0"/>
  <pageSetup horizontalDpi="300" verticalDpi="300" orientation="portrait" paperSize="9"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dimension ref="A1:I34"/>
  <sheetViews>
    <sheetView showGridLines="0" workbookViewId="0" topLeftCell="C1">
      <selection activeCell="C4" sqref="C4"/>
    </sheetView>
  </sheetViews>
  <sheetFormatPr defaultColWidth="9.00390625" defaultRowHeight="12.75"/>
  <cols>
    <col min="1" max="1" width="2.75390625" style="189" customWidth="1"/>
    <col min="2" max="2" width="17.125" style="189" customWidth="1"/>
    <col min="3" max="3" width="17.00390625" style="189" customWidth="1"/>
    <col min="4" max="4" width="44.00390625" style="189" customWidth="1"/>
    <col min="5" max="5" width="30.125" style="189" customWidth="1"/>
    <col min="6" max="6" width="19.875" style="189" customWidth="1"/>
    <col min="7" max="7" width="6.75390625" style="189" customWidth="1"/>
    <col min="8" max="8" width="12.875" style="189" customWidth="1"/>
    <col min="9" max="9" width="19.875" style="189" customWidth="1"/>
    <col min="10" max="16384" width="9.125" style="189" customWidth="1"/>
  </cols>
  <sheetData>
    <row r="1" spans="1:5" s="423" customFormat="1" ht="12.75">
      <c r="A1" s="422" t="s">
        <v>218</v>
      </c>
      <c r="E1" s="423" t="s">
        <v>0</v>
      </c>
    </row>
    <row r="2" spans="1:5" s="14" customFormat="1" ht="24.75" customHeight="1" thickBot="1">
      <c r="A2" s="4" t="s">
        <v>474</v>
      </c>
      <c r="E2" s="14" t="s">
        <v>0</v>
      </c>
    </row>
    <row r="3" spans="1:7" s="423" customFormat="1" ht="15.75" customHeight="1">
      <c r="A3" s="686" t="s">
        <v>454</v>
      </c>
      <c r="B3" s="687"/>
      <c r="C3" s="687"/>
      <c r="D3" s="687"/>
      <c r="E3" s="687"/>
      <c r="F3" s="687"/>
      <c r="G3" s="688"/>
    </row>
    <row r="4" spans="1:8" s="14" customFormat="1" ht="21" customHeight="1" thickBot="1">
      <c r="A4" s="424"/>
      <c r="B4" s="312" t="s">
        <v>306</v>
      </c>
      <c r="C4" s="475">
        <v>531</v>
      </c>
      <c r="D4" s="476" t="s">
        <v>377</v>
      </c>
      <c r="E4" s="425"/>
      <c r="F4" s="425"/>
      <c r="G4" s="426"/>
      <c r="H4" s="222"/>
    </row>
    <row r="5" spans="1:7" s="14" customFormat="1" ht="15.75" customHeight="1">
      <c r="A5" s="427" t="s">
        <v>183</v>
      </c>
      <c r="B5" s="477" t="s">
        <v>184</v>
      </c>
      <c r="C5" s="428"/>
      <c r="D5" s="428"/>
      <c r="E5" s="428"/>
      <c r="F5" s="429" t="s">
        <v>0</v>
      </c>
      <c r="G5" s="430" t="s">
        <v>0</v>
      </c>
    </row>
    <row r="6" spans="1:7" s="14" customFormat="1" ht="15.75" customHeight="1">
      <c r="A6" s="431" t="s">
        <v>86</v>
      </c>
      <c r="B6" s="478" t="s">
        <v>293</v>
      </c>
      <c r="C6" s="432"/>
      <c r="D6" s="432"/>
      <c r="E6" s="432" t="s">
        <v>307</v>
      </c>
      <c r="F6" s="481">
        <f>+C4*3</f>
        <v>1593</v>
      </c>
      <c r="G6" s="433" t="s">
        <v>377</v>
      </c>
    </row>
    <row r="7" spans="1:7" s="14" customFormat="1" ht="15.75" customHeight="1">
      <c r="A7" s="431" t="s">
        <v>86</v>
      </c>
      <c r="B7" s="478" t="s">
        <v>294</v>
      </c>
      <c r="C7" s="432"/>
      <c r="D7" s="432"/>
      <c r="E7" s="432" t="s">
        <v>308</v>
      </c>
      <c r="F7" s="481">
        <f>+C4*2</f>
        <v>1062</v>
      </c>
      <c r="G7" s="433" t="s">
        <v>377</v>
      </c>
    </row>
    <row r="8" spans="1:7" s="14" customFormat="1" ht="15.75" customHeight="1">
      <c r="A8" s="431" t="s">
        <v>86</v>
      </c>
      <c r="B8" s="478" t="s">
        <v>295</v>
      </c>
      <c r="C8" s="432"/>
      <c r="D8" s="432"/>
      <c r="E8" s="432" t="s">
        <v>309</v>
      </c>
      <c r="F8" s="481">
        <f>+C4*1</f>
        <v>531</v>
      </c>
      <c r="G8" s="433" t="s">
        <v>377</v>
      </c>
    </row>
    <row r="9" spans="1:9" s="14" customFormat="1" ht="15.75" customHeight="1">
      <c r="A9" s="434" t="s">
        <v>183</v>
      </c>
      <c r="B9" s="479" t="s">
        <v>185</v>
      </c>
      <c r="C9" s="435"/>
      <c r="D9" s="435"/>
      <c r="E9" s="435"/>
      <c r="F9" s="482" t="s">
        <v>0</v>
      </c>
      <c r="G9" s="437" t="s">
        <v>0</v>
      </c>
      <c r="H9" s="438"/>
      <c r="I9" s="439"/>
    </row>
    <row r="10" spans="1:9" s="14" customFormat="1" ht="15.75" customHeight="1">
      <c r="A10" s="431" t="s">
        <v>86</v>
      </c>
      <c r="B10" s="478" t="s">
        <v>296</v>
      </c>
      <c r="C10" s="432"/>
      <c r="D10" s="432"/>
      <c r="E10" s="432" t="s">
        <v>309</v>
      </c>
      <c r="F10" s="481">
        <f>+C4*1</f>
        <v>531</v>
      </c>
      <c r="G10" s="433" t="s">
        <v>377</v>
      </c>
      <c r="H10" s="438"/>
      <c r="I10" s="439"/>
    </row>
    <row r="11" spans="1:9" s="14" customFormat="1" ht="15.75" customHeight="1">
      <c r="A11" s="431" t="s">
        <v>86</v>
      </c>
      <c r="B11" s="478" t="s">
        <v>297</v>
      </c>
      <c r="C11" s="432"/>
      <c r="D11" s="432"/>
      <c r="E11" s="432" t="s">
        <v>308</v>
      </c>
      <c r="F11" s="481">
        <f>+C4*2</f>
        <v>1062</v>
      </c>
      <c r="G11" s="433" t="s">
        <v>377</v>
      </c>
      <c r="H11" s="438"/>
      <c r="I11" s="439"/>
    </row>
    <row r="12" spans="1:7" s="14" customFormat="1" ht="15.75" customHeight="1">
      <c r="A12" s="434" t="s">
        <v>183</v>
      </c>
      <c r="B12" s="479" t="s">
        <v>186</v>
      </c>
      <c r="C12" s="435"/>
      <c r="D12" s="435"/>
      <c r="E12" s="435"/>
      <c r="F12" s="482" t="s">
        <v>0</v>
      </c>
      <c r="G12" s="437" t="s">
        <v>0</v>
      </c>
    </row>
    <row r="13" spans="1:7" s="14" customFormat="1" ht="15.75" customHeight="1">
      <c r="A13" s="431" t="s">
        <v>86</v>
      </c>
      <c r="B13" s="478" t="s">
        <v>298</v>
      </c>
      <c r="C13" s="432"/>
      <c r="D13" s="432"/>
      <c r="E13" s="432" t="s">
        <v>310</v>
      </c>
      <c r="F13" s="481">
        <f>+C4/5</f>
        <v>106.2</v>
      </c>
      <c r="G13" s="433" t="s">
        <v>377</v>
      </c>
    </row>
    <row r="14" spans="1:7" s="14" customFormat="1" ht="15.75" customHeight="1">
      <c r="A14" s="431" t="s">
        <v>86</v>
      </c>
      <c r="B14" s="478" t="s">
        <v>299</v>
      </c>
      <c r="C14" s="432"/>
      <c r="D14" s="432"/>
      <c r="E14" s="432" t="s">
        <v>311</v>
      </c>
      <c r="F14" s="481">
        <f>+C4/8</f>
        <v>66.375</v>
      </c>
      <c r="G14" s="433" t="s">
        <v>377</v>
      </c>
    </row>
    <row r="15" spans="1:7" s="14" customFormat="1" ht="15.75" customHeight="1">
      <c r="A15" s="431" t="s">
        <v>86</v>
      </c>
      <c r="B15" s="478" t="s">
        <v>300</v>
      </c>
      <c r="C15" s="432"/>
      <c r="D15" s="432"/>
      <c r="E15" s="432" t="s">
        <v>307</v>
      </c>
      <c r="F15" s="481">
        <f>+C4*3</f>
        <v>1593</v>
      </c>
      <c r="G15" s="433" t="s">
        <v>377</v>
      </c>
    </row>
    <row r="16" spans="1:7" s="14" customFormat="1" ht="15.75" customHeight="1">
      <c r="A16" s="431" t="s">
        <v>86</v>
      </c>
      <c r="B16" s="478" t="s">
        <v>373</v>
      </c>
      <c r="C16" s="432"/>
      <c r="D16" s="432"/>
      <c r="E16" s="432"/>
      <c r="F16" s="481"/>
      <c r="G16" s="433" t="s">
        <v>0</v>
      </c>
    </row>
    <row r="17" spans="1:7" s="14" customFormat="1" ht="15.75" customHeight="1">
      <c r="A17" s="431" t="s">
        <v>0</v>
      </c>
      <c r="B17" s="478" t="s">
        <v>374</v>
      </c>
      <c r="C17" s="432"/>
      <c r="D17" s="432"/>
      <c r="E17" s="432"/>
      <c r="F17" s="481" t="s">
        <v>0</v>
      </c>
      <c r="G17" s="433"/>
    </row>
    <row r="18" spans="1:7" s="14" customFormat="1" ht="15.75" customHeight="1">
      <c r="A18" s="431"/>
      <c r="B18" s="478" t="s">
        <v>367</v>
      </c>
      <c r="C18" s="432"/>
      <c r="D18" s="432"/>
      <c r="E18" s="432"/>
      <c r="F18" s="481"/>
      <c r="G18" s="433"/>
    </row>
    <row r="19" spans="1:7" s="14" customFormat="1" ht="15.75" customHeight="1">
      <c r="A19" s="431"/>
      <c r="B19" s="478" t="s">
        <v>369</v>
      </c>
      <c r="C19" s="432"/>
      <c r="D19" s="432"/>
      <c r="E19" s="432"/>
      <c r="F19" s="481"/>
      <c r="G19" s="433"/>
    </row>
    <row r="20" spans="1:7" s="14" customFormat="1" ht="15.75" customHeight="1">
      <c r="A20" s="431"/>
      <c r="B20" s="478" t="s">
        <v>368</v>
      </c>
      <c r="C20" s="432"/>
      <c r="D20" s="432"/>
      <c r="E20" s="432" t="s">
        <v>307</v>
      </c>
      <c r="F20" s="481">
        <f>+C4*3</f>
        <v>1593</v>
      </c>
      <c r="G20" s="433" t="s">
        <v>377</v>
      </c>
    </row>
    <row r="21" spans="1:7" s="14" customFormat="1" ht="15.75" customHeight="1">
      <c r="A21" s="431" t="s">
        <v>86</v>
      </c>
      <c r="B21" s="478" t="s">
        <v>370</v>
      </c>
      <c r="C21" s="432"/>
      <c r="D21" s="432"/>
      <c r="E21" s="432"/>
      <c r="F21" s="481"/>
      <c r="G21" s="433" t="s">
        <v>0</v>
      </c>
    </row>
    <row r="22" spans="1:7" s="14" customFormat="1" ht="15.75" customHeight="1">
      <c r="A22" s="431"/>
      <c r="B22" s="478" t="s">
        <v>371</v>
      </c>
      <c r="C22" s="432"/>
      <c r="D22" s="432"/>
      <c r="E22" s="432"/>
      <c r="F22" s="481"/>
      <c r="G22" s="433"/>
    </row>
    <row r="23" spans="1:7" s="14" customFormat="1" ht="15.75" customHeight="1">
      <c r="A23" s="431"/>
      <c r="B23" s="478" t="s">
        <v>372</v>
      </c>
      <c r="C23" s="432"/>
      <c r="D23" s="432"/>
      <c r="E23" s="432" t="s">
        <v>307</v>
      </c>
      <c r="F23" s="481">
        <f>+C4*3</f>
        <v>1593</v>
      </c>
      <c r="G23" s="433" t="s">
        <v>377</v>
      </c>
    </row>
    <row r="24" spans="1:7" s="14" customFormat="1" ht="15.75" customHeight="1">
      <c r="A24" s="434" t="s">
        <v>183</v>
      </c>
      <c r="B24" s="479" t="s">
        <v>301</v>
      </c>
      <c r="C24" s="435"/>
      <c r="D24" s="435"/>
      <c r="E24" s="435"/>
      <c r="F24" s="436" t="s">
        <v>0</v>
      </c>
      <c r="G24" s="437" t="s">
        <v>0</v>
      </c>
    </row>
    <row r="25" spans="1:7" s="14" customFormat="1" ht="15.75" customHeight="1">
      <c r="A25" s="431" t="s">
        <v>86</v>
      </c>
      <c r="B25" s="689" t="s">
        <v>302</v>
      </c>
      <c r="C25" s="690"/>
      <c r="D25" s="690"/>
      <c r="E25" s="432" t="s">
        <v>312</v>
      </c>
      <c r="F25" s="481">
        <f>+C4*12</f>
        <v>6372</v>
      </c>
      <c r="G25" s="433" t="s">
        <v>377</v>
      </c>
    </row>
    <row r="26" spans="1:7" s="14" customFormat="1" ht="15.75" customHeight="1">
      <c r="A26" s="431" t="s">
        <v>86</v>
      </c>
      <c r="B26" s="478" t="s">
        <v>303</v>
      </c>
      <c r="C26" s="432"/>
      <c r="D26" s="432"/>
      <c r="E26" s="432" t="s">
        <v>313</v>
      </c>
      <c r="F26" s="481">
        <f>+C4*6</f>
        <v>3186</v>
      </c>
      <c r="G26" s="433" t="s">
        <v>377</v>
      </c>
    </row>
    <row r="27" spans="1:9" s="14" customFormat="1" ht="15.75" customHeight="1">
      <c r="A27" s="431" t="s">
        <v>86</v>
      </c>
      <c r="B27" s="478" t="s">
        <v>304</v>
      </c>
      <c r="C27" s="432"/>
      <c r="D27" s="432"/>
      <c r="E27" s="432" t="s">
        <v>307</v>
      </c>
      <c r="F27" s="481">
        <f>+C4*3</f>
        <v>1593</v>
      </c>
      <c r="G27" s="433" t="s">
        <v>377</v>
      </c>
      <c r="I27" s="4"/>
    </row>
    <row r="28" spans="1:9" s="14" customFormat="1" ht="15.75" customHeight="1">
      <c r="A28" s="434" t="s">
        <v>183</v>
      </c>
      <c r="B28" s="691" t="s">
        <v>365</v>
      </c>
      <c r="C28" s="692"/>
      <c r="D28" s="692"/>
      <c r="E28" s="692"/>
      <c r="F28" s="692"/>
      <c r="G28" s="693"/>
      <c r="I28" s="4"/>
    </row>
    <row r="29" spans="1:9" s="14" customFormat="1" ht="15.75" customHeight="1">
      <c r="A29" s="431" t="s">
        <v>86</v>
      </c>
      <c r="B29" s="689" t="s">
        <v>302</v>
      </c>
      <c r="C29" s="690"/>
      <c r="D29" s="690"/>
      <c r="E29" s="432" t="s">
        <v>366</v>
      </c>
      <c r="F29" s="481">
        <f>+C4*1/2</f>
        <v>265.5</v>
      </c>
      <c r="G29" s="433" t="s">
        <v>377</v>
      </c>
      <c r="I29" s="4"/>
    </row>
    <row r="30" spans="1:9" s="14" customFormat="1" ht="15.75" customHeight="1">
      <c r="A30" s="431" t="s">
        <v>86</v>
      </c>
      <c r="B30" s="478" t="s">
        <v>303</v>
      </c>
      <c r="C30" s="432"/>
      <c r="D30" s="432"/>
      <c r="E30" s="432" t="s">
        <v>366</v>
      </c>
      <c r="F30" s="481">
        <f>+C4*1/2</f>
        <v>265.5</v>
      </c>
      <c r="G30" s="433" t="s">
        <v>377</v>
      </c>
      <c r="I30" s="4"/>
    </row>
    <row r="31" spans="1:9" s="14" customFormat="1" ht="15.75" customHeight="1">
      <c r="A31" s="431" t="s">
        <v>86</v>
      </c>
      <c r="B31" s="478" t="s">
        <v>304</v>
      </c>
      <c r="C31" s="432"/>
      <c r="D31" s="432"/>
      <c r="E31" s="432" t="s">
        <v>366</v>
      </c>
      <c r="F31" s="481">
        <f>+C4*1/2</f>
        <v>265.5</v>
      </c>
      <c r="G31" s="433" t="s">
        <v>377</v>
      </c>
      <c r="I31" s="4"/>
    </row>
    <row r="32" spans="1:7" s="14" customFormat="1" ht="29.25" customHeight="1">
      <c r="A32" s="434" t="s">
        <v>183</v>
      </c>
      <c r="B32" s="691" t="s">
        <v>305</v>
      </c>
      <c r="C32" s="692"/>
      <c r="D32" s="692"/>
      <c r="E32" s="435" t="s">
        <v>308</v>
      </c>
      <c r="F32" s="482">
        <f>+C4*2</f>
        <v>1062</v>
      </c>
      <c r="G32" s="437" t="s">
        <v>377</v>
      </c>
    </row>
    <row r="33" spans="1:7" s="14" customFormat="1" ht="15.75" customHeight="1" thickBot="1">
      <c r="A33" s="440" t="s">
        <v>183</v>
      </c>
      <c r="B33" s="480" t="s">
        <v>187</v>
      </c>
      <c r="C33" s="441"/>
      <c r="D33" s="441"/>
      <c r="E33" s="441" t="s">
        <v>309</v>
      </c>
      <c r="F33" s="483">
        <f>+C4*1</f>
        <v>531</v>
      </c>
      <c r="G33" s="442" t="s">
        <v>377</v>
      </c>
    </row>
    <row r="34" spans="1:8" ht="12.75">
      <c r="A34" s="14"/>
      <c r="B34" s="14"/>
      <c r="C34" s="14"/>
      <c r="D34" s="443"/>
      <c r="E34" s="443"/>
      <c r="H34" s="443"/>
    </row>
  </sheetData>
  <mergeCells count="5">
    <mergeCell ref="A3:G3"/>
    <mergeCell ref="B25:D25"/>
    <mergeCell ref="B32:D32"/>
    <mergeCell ref="B29:D29"/>
    <mergeCell ref="B28:G28"/>
  </mergeCells>
  <printOptions/>
  <pageMargins left="0.7" right="0" top="0.43" bottom="0" header="0" footer="0"/>
  <pageSetup horizontalDpi="300" verticalDpi="300" orientation="landscape" paperSize="9" scale="95"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dimension ref="A1:G52"/>
  <sheetViews>
    <sheetView showGridLines="0" workbookViewId="0" topLeftCell="A40">
      <selection activeCell="D49" sqref="D49"/>
    </sheetView>
  </sheetViews>
  <sheetFormatPr defaultColWidth="9.00390625" defaultRowHeight="12.75"/>
  <cols>
    <col min="1" max="1" width="20.00390625" style="31" customWidth="1"/>
    <col min="2" max="2" width="8.125" style="31" customWidth="1"/>
    <col min="3" max="3" width="12.75390625" style="31" customWidth="1"/>
    <col min="4" max="4" width="13.00390625" style="31" customWidth="1"/>
    <col min="5" max="5" width="19.125" style="31" customWidth="1"/>
    <col min="6" max="6" width="7.75390625" style="31" customWidth="1"/>
    <col min="7" max="7" width="16.00390625" style="31" customWidth="1"/>
    <col min="8" max="16384" width="9.125" style="31" customWidth="1"/>
  </cols>
  <sheetData>
    <row r="1" spans="1:7" ht="45" customHeight="1">
      <c r="A1" s="697" t="s">
        <v>399</v>
      </c>
      <c r="B1" s="698"/>
      <c r="C1" s="698"/>
      <c r="D1" s="698"/>
      <c r="E1" s="698"/>
      <c r="F1" s="698"/>
      <c r="G1" s="698"/>
    </row>
    <row r="2" ht="15.75" customHeight="1" thickBot="1">
      <c r="A2" s="57" t="s">
        <v>475</v>
      </c>
    </row>
    <row r="3" spans="1:7" ht="19.5" customHeight="1" thickBot="1" thickTop="1">
      <c r="A3" s="485" t="s">
        <v>46</v>
      </c>
      <c r="B3" s="485"/>
      <c r="C3" s="485" t="s">
        <v>47</v>
      </c>
      <c r="D3" s="486" t="s">
        <v>48</v>
      </c>
      <c r="E3" s="485" t="s">
        <v>46</v>
      </c>
      <c r="F3" s="485"/>
      <c r="G3" s="487" t="s">
        <v>383</v>
      </c>
    </row>
    <row r="4" spans="1:7" ht="28.5" customHeight="1" thickTop="1">
      <c r="A4" s="504" t="s">
        <v>229</v>
      </c>
      <c r="B4" s="484"/>
      <c r="C4" s="488"/>
      <c r="D4" s="488"/>
      <c r="E4" s="504" t="s">
        <v>229</v>
      </c>
      <c r="F4" s="484"/>
      <c r="G4" s="488"/>
    </row>
    <row r="5" spans="1:7" ht="16.5" customHeight="1">
      <c r="A5" s="489"/>
      <c r="B5" s="490" t="s">
        <v>50</v>
      </c>
      <c r="C5" s="491">
        <v>3790000</v>
      </c>
      <c r="D5" s="491">
        <v>6070000</v>
      </c>
      <c r="E5" s="489"/>
      <c r="F5" s="490" t="s">
        <v>50</v>
      </c>
      <c r="G5" s="491">
        <v>3120000</v>
      </c>
    </row>
    <row r="6" spans="1:7" ht="16.5" customHeight="1" thickBot="1">
      <c r="A6" s="492" t="s">
        <v>0</v>
      </c>
      <c r="B6" s="493" t="s">
        <v>51</v>
      </c>
      <c r="C6" s="494">
        <f>+C5*30</f>
        <v>113700000</v>
      </c>
      <c r="D6" s="494">
        <f>+D5*30</f>
        <v>182100000</v>
      </c>
      <c r="E6" s="492" t="s">
        <v>0</v>
      </c>
      <c r="F6" s="493" t="s">
        <v>51</v>
      </c>
      <c r="G6" s="494">
        <f>+G5*30</f>
        <v>93600000</v>
      </c>
    </row>
    <row r="7" spans="1:7" ht="16.5" customHeight="1" thickTop="1">
      <c r="A7" s="484" t="s">
        <v>228</v>
      </c>
      <c r="B7" s="484"/>
      <c r="C7" s="488"/>
      <c r="D7" s="488"/>
      <c r="E7" s="484" t="s">
        <v>386</v>
      </c>
      <c r="F7" s="484"/>
      <c r="G7" s="488"/>
    </row>
    <row r="8" spans="1:7" ht="16.5" customHeight="1">
      <c r="A8" s="490"/>
      <c r="B8" s="490" t="s">
        <v>50</v>
      </c>
      <c r="C8" s="491">
        <v>4000000</v>
      </c>
      <c r="D8" s="491">
        <f>+C8*3</f>
        <v>12000000</v>
      </c>
      <c r="E8" s="490"/>
      <c r="F8" s="490" t="s">
        <v>50</v>
      </c>
      <c r="G8" s="491">
        <v>3660000</v>
      </c>
    </row>
    <row r="9" spans="1:7" ht="16.5" customHeight="1" thickBot="1">
      <c r="A9" s="493"/>
      <c r="B9" s="493" t="s">
        <v>51</v>
      </c>
      <c r="C9" s="494">
        <f>+C8*30</f>
        <v>120000000</v>
      </c>
      <c r="D9" s="494">
        <f>+D8*30</f>
        <v>360000000</v>
      </c>
      <c r="E9" s="493"/>
      <c r="F9" s="493" t="s">
        <v>51</v>
      </c>
      <c r="G9" s="494">
        <f>+G8*30</f>
        <v>109800000</v>
      </c>
    </row>
    <row r="10" spans="1:7" ht="16.5" customHeight="1" thickTop="1">
      <c r="A10" s="495" t="s">
        <v>252</v>
      </c>
      <c r="B10" s="495"/>
      <c r="C10" s="495"/>
      <c r="D10" s="496"/>
      <c r="E10" s="495" t="s">
        <v>384</v>
      </c>
      <c r="F10" s="495"/>
      <c r="G10" s="488"/>
    </row>
    <row r="11" spans="1:7" ht="16.5" customHeight="1">
      <c r="A11" s="490"/>
      <c r="B11" s="490" t="s">
        <v>50</v>
      </c>
      <c r="C11" s="497">
        <v>5000000</v>
      </c>
      <c r="D11" s="491">
        <f>+C11*3</f>
        <v>15000000</v>
      </c>
      <c r="E11" s="490"/>
      <c r="F11" s="490" t="s">
        <v>50</v>
      </c>
      <c r="G11" s="491">
        <v>3960000</v>
      </c>
    </row>
    <row r="12" spans="1:7" ht="16.5" customHeight="1" thickBot="1">
      <c r="A12" s="493"/>
      <c r="B12" s="493" t="s">
        <v>51</v>
      </c>
      <c r="C12" s="498">
        <f>+C11*30</f>
        <v>150000000</v>
      </c>
      <c r="D12" s="494">
        <f>+D11*30</f>
        <v>450000000</v>
      </c>
      <c r="E12" s="493"/>
      <c r="F12" s="493" t="s">
        <v>51</v>
      </c>
      <c r="G12" s="494">
        <f>+G11*30</f>
        <v>118800000</v>
      </c>
    </row>
    <row r="13" spans="1:7" ht="16.5" customHeight="1" thickTop="1">
      <c r="A13" s="484" t="s">
        <v>253</v>
      </c>
      <c r="B13" s="484"/>
      <c r="C13" s="484"/>
      <c r="D13" s="499"/>
      <c r="E13" s="484" t="s">
        <v>385</v>
      </c>
      <c r="F13" s="484"/>
      <c r="G13" s="488"/>
    </row>
    <row r="14" spans="1:7" ht="16.5" customHeight="1">
      <c r="A14" s="490"/>
      <c r="B14" s="490" t="s">
        <v>50</v>
      </c>
      <c r="C14" s="497">
        <v>5000000</v>
      </c>
      <c r="D14" s="491">
        <f>+C14*4</f>
        <v>20000000</v>
      </c>
      <c r="E14" s="490"/>
      <c r="F14" s="490" t="s">
        <v>50</v>
      </c>
      <c r="G14" s="491">
        <v>4665000</v>
      </c>
    </row>
    <row r="15" spans="1:7" ht="16.5" customHeight="1" thickBot="1">
      <c r="A15" s="493"/>
      <c r="B15" s="493" t="s">
        <v>51</v>
      </c>
      <c r="C15" s="498">
        <f>+C14*30</f>
        <v>150000000</v>
      </c>
      <c r="D15" s="494">
        <f>+D14*30</f>
        <v>600000000</v>
      </c>
      <c r="E15" s="493"/>
      <c r="F15" s="493" t="s">
        <v>51</v>
      </c>
      <c r="G15" s="494">
        <f>+G14*30</f>
        <v>139950000</v>
      </c>
    </row>
    <row r="16" spans="1:7" ht="16.5" customHeight="1" thickTop="1">
      <c r="A16" s="484" t="s">
        <v>49</v>
      </c>
      <c r="B16" s="484"/>
      <c r="C16" s="484"/>
      <c r="D16" s="499"/>
      <c r="E16" s="484" t="s">
        <v>387</v>
      </c>
      <c r="F16" s="484"/>
      <c r="G16" s="488"/>
    </row>
    <row r="17" spans="1:7" ht="16.5" customHeight="1">
      <c r="A17" s="490"/>
      <c r="B17" s="490" t="s">
        <v>50</v>
      </c>
      <c r="C17" s="497">
        <v>7000000</v>
      </c>
      <c r="D17" s="491">
        <v>35000000</v>
      </c>
      <c r="E17" s="490"/>
      <c r="F17" s="490" t="s">
        <v>50</v>
      </c>
      <c r="G17" s="491">
        <v>4898250</v>
      </c>
    </row>
    <row r="18" spans="1:7" ht="16.5" customHeight="1" thickBot="1">
      <c r="A18" s="493"/>
      <c r="B18" s="493" t="s">
        <v>51</v>
      </c>
      <c r="C18" s="498">
        <v>210000000</v>
      </c>
      <c r="D18" s="494">
        <v>1050000000</v>
      </c>
      <c r="E18" s="493"/>
      <c r="F18" s="493" t="s">
        <v>51</v>
      </c>
      <c r="G18" s="494">
        <f>+G17*30</f>
        <v>146947500</v>
      </c>
    </row>
    <row r="19" spans="1:7" ht="16.5" customHeight="1" thickTop="1">
      <c r="A19" s="484" t="s">
        <v>52</v>
      </c>
      <c r="B19" s="484"/>
      <c r="C19" s="500"/>
      <c r="D19" s="488"/>
      <c r="E19" s="484" t="s">
        <v>388</v>
      </c>
      <c r="F19" s="484"/>
      <c r="G19" s="488"/>
    </row>
    <row r="20" spans="1:7" ht="16.5" customHeight="1">
      <c r="A20" s="490"/>
      <c r="B20" s="490" t="s">
        <v>50</v>
      </c>
      <c r="C20" s="497">
        <v>9262400</v>
      </c>
      <c r="D20" s="491">
        <v>46312000</v>
      </c>
      <c r="E20" s="490"/>
      <c r="F20" s="490" t="s">
        <v>50</v>
      </c>
      <c r="G20" s="491">
        <v>5598000</v>
      </c>
    </row>
    <row r="21" spans="1:7" ht="16.5" customHeight="1" thickBot="1">
      <c r="A21" s="493"/>
      <c r="B21" s="493" t="s">
        <v>51</v>
      </c>
      <c r="C21" s="498">
        <v>277872000</v>
      </c>
      <c r="D21" s="494">
        <v>1389360000</v>
      </c>
      <c r="E21" s="493"/>
      <c r="F21" s="493" t="s">
        <v>51</v>
      </c>
      <c r="G21" s="494">
        <f>+G20*30</f>
        <v>167940000</v>
      </c>
    </row>
    <row r="22" spans="1:7" ht="16.5" customHeight="1" thickTop="1">
      <c r="A22" s="484" t="s">
        <v>53</v>
      </c>
      <c r="B22" s="484"/>
      <c r="C22" s="500"/>
      <c r="D22" s="488"/>
      <c r="E22" s="484" t="s">
        <v>389</v>
      </c>
      <c r="F22" s="484"/>
      <c r="G22" s="488"/>
    </row>
    <row r="23" spans="1:7" ht="16.5" customHeight="1">
      <c r="A23" s="490"/>
      <c r="B23" s="490" t="s">
        <v>50</v>
      </c>
      <c r="C23" s="497">
        <v>10919443</v>
      </c>
      <c r="D23" s="491">
        <v>54597215</v>
      </c>
      <c r="E23" s="490"/>
      <c r="F23" s="490" t="s">
        <v>50</v>
      </c>
      <c r="G23" s="491">
        <v>7400025</v>
      </c>
    </row>
    <row r="24" spans="1:7" ht="16.5" customHeight="1" thickBot="1">
      <c r="A24" s="493"/>
      <c r="B24" s="493" t="s">
        <v>51</v>
      </c>
      <c r="C24" s="498">
        <v>327583290</v>
      </c>
      <c r="D24" s="494">
        <v>1637916450</v>
      </c>
      <c r="E24" s="493"/>
      <c r="F24" s="493" t="s">
        <v>51</v>
      </c>
      <c r="G24" s="494">
        <f>+G23*30</f>
        <v>222000750</v>
      </c>
    </row>
    <row r="25" spans="1:7" ht="16.5" customHeight="1" thickTop="1">
      <c r="A25" s="484" t="s">
        <v>188</v>
      </c>
      <c r="B25" s="484"/>
      <c r="C25" s="500"/>
      <c r="D25" s="488"/>
      <c r="E25" s="484" t="s">
        <v>390</v>
      </c>
      <c r="F25" s="484"/>
      <c r="G25" s="488"/>
    </row>
    <row r="26" spans="1:7" ht="16.5" customHeight="1">
      <c r="A26" s="490"/>
      <c r="B26" s="490" t="s">
        <v>50</v>
      </c>
      <c r="C26" s="497">
        <v>13103332</v>
      </c>
      <c r="D26" s="491">
        <f>+C26*5</f>
        <v>65516660</v>
      </c>
      <c r="E26" s="490"/>
      <c r="F26" s="490" t="s">
        <v>50</v>
      </c>
      <c r="G26" s="491">
        <v>8362500</v>
      </c>
    </row>
    <row r="27" spans="1:7" ht="16.5" customHeight="1" thickBot="1">
      <c r="A27" s="493"/>
      <c r="B27" s="493" t="s">
        <v>51</v>
      </c>
      <c r="C27" s="498">
        <f>+C26*30</f>
        <v>393099960</v>
      </c>
      <c r="D27" s="494">
        <f>+D26*30</f>
        <v>1965499800</v>
      </c>
      <c r="E27" s="493"/>
      <c r="F27" s="493" t="s">
        <v>51</v>
      </c>
      <c r="G27" s="494">
        <f>+G26*30</f>
        <v>250875000</v>
      </c>
    </row>
    <row r="28" spans="1:7" ht="16.5" customHeight="1" thickTop="1">
      <c r="A28" s="484" t="s">
        <v>332</v>
      </c>
      <c r="B28" s="484"/>
      <c r="C28" s="500"/>
      <c r="D28" s="488"/>
      <c r="E28" s="484" t="s">
        <v>391</v>
      </c>
      <c r="F28" s="484"/>
      <c r="G28" s="488"/>
    </row>
    <row r="29" spans="1:7" ht="16.5" customHeight="1">
      <c r="A29" s="490"/>
      <c r="B29" s="490" t="s">
        <v>50</v>
      </c>
      <c r="C29" s="497">
        <v>15267194</v>
      </c>
      <c r="D29" s="491">
        <f>+C29*5</f>
        <v>76335970</v>
      </c>
      <c r="E29" s="490"/>
      <c r="F29" s="490" t="s">
        <v>50</v>
      </c>
      <c r="G29" s="491">
        <v>10200000</v>
      </c>
    </row>
    <row r="30" spans="1:7" ht="16.5" customHeight="1" thickBot="1">
      <c r="A30" s="493"/>
      <c r="B30" s="493" t="s">
        <v>51</v>
      </c>
      <c r="C30" s="498">
        <f>+C29*30</f>
        <v>458015820</v>
      </c>
      <c r="D30" s="494">
        <f>+D29*30</f>
        <v>2290079100</v>
      </c>
      <c r="E30" s="493"/>
      <c r="F30" s="493" t="s">
        <v>51</v>
      </c>
      <c r="G30" s="494">
        <f>+G29*30</f>
        <v>306000000</v>
      </c>
    </row>
    <row r="31" spans="1:7" ht="16.5" customHeight="1" thickTop="1">
      <c r="A31" s="484" t="s">
        <v>355</v>
      </c>
      <c r="B31" s="484"/>
      <c r="C31" s="500"/>
      <c r="D31" s="488"/>
      <c r="E31" s="484" t="s">
        <v>355</v>
      </c>
      <c r="F31" s="484"/>
      <c r="G31" s="488"/>
    </row>
    <row r="32" spans="1:7" ht="16.5" customHeight="1" thickBot="1">
      <c r="A32" s="490"/>
      <c r="B32" s="490" t="s">
        <v>50</v>
      </c>
      <c r="C32" s="497">
        <v>18321000</v>
      </c>
      <c r="D32" s="491">
        <f>+C32*5</f>
        <v>91605000</v>
      </c>
      <c r="E32" s="490"/>
      <c r="F32" s="490" t="s">
        <v>50</v>
      </c>
      <c r="G32" s="501">
        <v>14100000</v>
      </c>
    </row>
    <row r="33" spans="1:7" ht="16.5" customHeight="1" thickBot="1" thickTop="1">
      <c r="A33" s="493"/>
      <c r="B33" s="493" t="s">
        <v>51</v>
      </c>
      <c r="C33" s="498">
        <f>+C32*30</f>
        <v>549630000</v>
      </c>
      <c r="D33" s="494">
        <f>+D32*30</f>
        <v>2748150000</v>
      </c>
      <c r="E33" s="493"/>
      <c r="F33" s="493" t="s">
        <v>51</v>
      </c>
      <c r="G33" s="502">
        <f>+G32*30</f>
        <v>423000000</v>
      </c>
    </row>
    <row r="34" spans="1:7" ht="16.5" customHeight="1" thickTop="1">
      <c r="A34" s="484" t="s">
        <v>356</v>
      </c>
      <c r="B34" s="484"/>
      <c r="C34" s="500"/>
      <c r="D34" s="488"/>
      <c r="E34" s="484" t="s">
        <v>356</v>
      </c>
      <c r="F34" s="484"/>
      <c r="G34" s="488"/>
    </row>
    <row r="35" spans="1:7" ht="16.5" customHeight="1">
      <c r="A35" s="490"/>
      <c r="B35" s="490" t="s">
        <v>50</v>
      </c>
      <c r="C35" s="497">
        <v>14805000</v>
      </c>
      <c r="D35" s="491">
        <f>+C35*6.5</f>
        <v>96232500</v>
      </c>
      <c r="E35" s="490"/>
      <c r="F35" s="490" t="s">
        <v>50</v>
      </c>
      <c r="G35" s="491">
        <v>14805000</v>
      </c>
    </row>
    <row r="36" spans="1:7" ht="16.5" customHeight="1" thickBot="1">
      <c r="A36" s="493"/>
      <c r="B36" s="493" t="s">
        <v>51</v>
      </c>
      <c r="C36" s="498">
        <f>+C35*30</f>
        <v>444150000</v>
      </c>
      <c r="D36" s="494">
        <f>+D35*30</f>
        <v>2886975000</v>
      </c>
      <c r="E36" s="493"/>
      <c r="F36" s="493" t="s">
        <v>51</v>
      </c>
      <c r="G36" s="494">
        <f>+G35*30</f>
        <v>444150000</v>
      </c>
    </row>
    <row r="37" spans="1:7" ht="15.75" customHeight="1" thickTop="1">
      <c r="A37" s="484" t="s">
        <v>376</v>
      </c>
      <c r="B37" s="484"/>
      <c r="C37" s="500"/>
      <c r="D37" s="488"/>
      <c r="E37" s="484" t="s">
        <v>376</v>
      </c>
      <c r="F37" s="484"/>
      <c r="G37" s="488"/>
    </row>
    <row r="38" spans="1:7" ht="22.5" customHeight="1">
      <c r="A38" s="694"/>
      <c r="B38" s="694" t="s">
        <v>50</v>
      </c>
      <c r="C38" s="497">
        <v>16290000</v>
      </c>
      <c r="D38" s="491">
        <f>+C38*6.5+5000</f>
        <v>105890000</v>
      </c>
      <c r="E38" s="490"/>
      <c r="F38" s="490" t="s">
        <v>50</v>
      </c>
      <c r="G38" s="491">
        <v>16290000</v>
      </c>
    </row>
    <row r="39" spans="1:7" ht="17.25" customHeight="1" thickBot="1">
      <c r="A39" s="696"/>
      <c r="B39" s="696"/>
      <c r="C39" s="503" t="s">
        <v>378</v>
      </c>
      <c r="D39" s="501" t="s">
        <v>379</v>
      </c>
      <c r="E39" s="493"/>
      <c r="F39" s="493" t="s">
        <v>51</v>
      </c>
      <c r="G39" s="494">
        <f>+G38*30</f>
        <v>488700000</v>
      </c>
    </row>
    <row r="40" spans="1:7" ht="21" customHeight="1" thickTop="1">
      <c r="A40" s="694"/>
      <c r="B40" s="694" t="s">
        <v>51</v>
      </c>
      <c r="C40" s="497">
        <f>+C38*30</f>
        <v>488700000</v>
      </c>
      <c r="D40" s="491">
        <f>+D38*30</f>
        <v>3176700000</v>
      </c>
      <c r="E40" s="694"/>
      <c r="F40" s="694"/>
      <c r="G40" s="491"/>
    </row>
    <row r="41" spans="1:7" ht="21" customHeight="1" thickBot="1">
      <c r="A41" s="695"/>
      <c r="B41" s="695"/>
      <c r="C41" s="498" t="s">
        <v>375</v>
      </c>
      <c r="D41" s="494" t="s">
        <v>380</v>
      </c>
      <c r="E41" s="695"/>
      <c r="F41" s="695"/>
      <c r="G41" s="494"/>
    </row>
    <row r="42" spans="1:7" ht="13.5" customHeight="1" thickTop="1">
      <c r="A42" s="484" t="s">
        <v>455</v>
      </c>
      <c r="B42" s="484"/>
      <c r="C42" s="500"/>
      <c r="D42" s="488"/>
      <c r="E42" s="484" t="s">
        <v>455</v>
      </c>
      <c r="F42" s="484"/>
      <c r="G42" s="488"/>
    </row>
    <row r="43" spans="1:7" ht="19.5" customHeight="1">
      <c r="A43" s="694"/>
      <c r="B43" s="694" t="s">
        <v>50</v>
      </c>
      <c r="C43" s="497">
        <v>17700000</v>
      </c>
      <c r="D43" s="491">
        <f>+C43*6.5</f>
        <v>115050000</v>
      </c>
      <c r="E43" s="490"/>
      <c r="F43" s="490" t="s">
        <v>50</v>
      </c>
      <c r="G43" s="491">
        <v>17700000</v>
      </c>
    </row>
    <row r="44" spans="1:7" ht="17.25" customHeight="1" thickBot="1">
      <c r="A44" s="696"/>
      <c r="B44" s="696"/>
      <c r="C44" s="503" t="s">
        <v>499</v>
      </c>
      <c r="D44" s="501" t="s">
        <v>516</v>
      </c>
      <c r="E44" s="493"/>
      <c r="F44" s="493" t="s">
        <v>51</v>
      </c>
      <c r="G44" s="494">
        <f>+G43*30</f>
        <v>531000000</v>
      </c>
    </row>
    <row r="45" spans="1:7" ht="24" customHeight="1" thickTop="1">
      <c r="A45" s="694"/>
      <c r="B45" s="694" t="s">
        <v>51</v>
      </c>
      <c r="C45" s="497">
        <f>+C43*30</f>
        <v>531000000</v>
      </c>
      <c r="D45" s="491">
        <f>+D43*30</f>
        <v>3451500000</v>
      </c>
      <c r="E45" s="694"/>
      <c r="F45" s="694"/>
      <c r="G45" s="491"/>
    </row>
    <row r="46" spans="1:7" ht="21" customHeight="1" thickBot="1">
      <c r="A46" s="695"/>
      <c r="B46" s="695"/>
      <c r="C46" s="498" t="s">
        <v>500</v>
      </c>
      <c r="D46" s="494" t="s">
        <v>501</v>
      </c>
      <c r="E46" s="695"/>
      <c r="F46" s="695"/>
      <c r="G46" s="494"/>
    </row>
    <row r="47" ht="13.5" customHeight="1" thickTop="1"/>
    <row r="48" ht="13.5" customHeight="1"/>
    <row r="49" ht="13.5" customHeight="1"/>
    <row r="50" ht="13.5" customHeight="1"/>
    <row r="51" ht="13.5" customHeight="1"/>
    <row r="52" ht="13.5" customHeight="1">
      <c r="G52" s="31" t="s">
        <v>0</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mergeCells count="13">
    <mergeCell ref="A38:A39"/>
    <mergeCell ref="A40:A41"/>
    <mergeCell ref="A1:G1"/>
    <mergeCell ref="E40:E41"/>
    <mergeCell ref="F40:F41"/>
    <mergeCell ref="B38:B39"/>
    <mergeCell ref="B40:B41"/>
    <mergeCell ref="E45:E46"/>
    <mergeCell ref="F45:F46"/>
    <mergeCell ref="A43:A44"/>
    <mergeCell ref="B43:B44"/>
    <mergeCell ref="A45:A46"/>
    <mergeCell ref="B45:B46"/>
  </mergeCells>
  <printOptions horizontalCentered="1"/>
  <pageMargins left="0.33" right="0.29" top="0.37" bottom="0" header="0" footer="0"/>
  <pageSetup horizontalDpi="300" verticalDpi="300" orientation="portrait" paperSize="9" scale="90"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52"/>
  <sheetViews>
    <sheetView showGridLines="0" workbookViewId="0" topLeftCell="B4">
      <selection activeCell="J31" sqref="J31"/>
    </sheetView>
  </sheetViews>
  <sheetFormatPr defaultColWidth="9.00390625" defaultRowHeight="12.75"/>
  <cols>
    <col min="1" max="1" width="19.375" style="6" customWidth="1"/>
    <col min="2" max="2" width="9.25390625" style="6" customWidth="1"/>
    <col min="3" max="3" width="9.375" style="6" customWidth="1"/>
    <col min="4" max="5" width="8.875" style="6" customWidth="1"/>
    <col min="6" max="6" width="8.75390625" style="6" customWidth="1"/>
    <col min="7" max="7" width="8.375" style="6" customWidth="1"/>
    <col min="8" max="8" width="9.125" style="6" customWidth="1"/>
    <col min="9" max="9" width="8.875" style="6" customWidth="1"/>
    <col min="10" max="10" width="10.00390625" style="6" customWidth="1"/>
    <col min="11" max="11" width="8.875" style="6" customWidth="1"/>
    <col min="12" max="16384" width="9.125" style="6" customWidth="1"/>
  </cols>
  <sheetData>
    <row r="1" s="85" customFormat="1" ht="29.25" customHeight="1">
      <c r="A1" s="373" t="s">
        <v>154</v>
      </c>
    </row>
    <row r="2" s="85" customFormat="1" ht="8.25" customHeight="1">
      <c r="A2" s="99"/>
    </row>
    <row r="3" ht="15.75">
      <c r="A3" s="5" t="s">
        <v>476</v>
      </c>
    </row>
    <row r="4" spans="1:11" s="3" customFormat="1" ht="57" customHeight="1">
      <c r="A4" s="274" t="s">
        <v>54</v>
      </c>
      <c r="B4" s="275">
        <v>2002</v>
      </c>
      <c r="C4" s="398" t="s">
        <v>343</v>
      </c>
      <c r="D4" s="275">
        <v>2003</v>
      </c>
      <c r="E4" s="398" t="s">
        <v>343</v>
      </c>
      <c r="F4" s="275">
        <v>2004</v>
      </c>
      <c r="G4" s="398" t="s">
        <v>343</v>
      </c>
      <c r="H4" s="275">
        <v>2005</v>
      </c>
      <c r="I4" s="398" t="s">
        <v>343</v>
      </c>
      <c r="J4" s="275" t="s">
        <v>456</v>
      </c>
      <c r="K4" s="398" t="s">
        <v>343</v>
      </c>
    </row>
    <row r="5" spans="1:11" s="3" customFormat="1" ht="14.25">
      <c r="A5" s="399" t="s">
        <v>397</v>
      </c>
      <c r="B5" s="272">
        <v>62542</v>
      </c>
      <c r="C5" s="271">
        <f aca="true" t="shared" si="0" ref="C5:C10">+B5/$B$10*100</f>
        <v>1.668866757231947</v>
      </c>
      <c r="D5" s="270">
        <v>62709</v>
      </c>
      <c r="E5" s="271">
        <f aca="true" t="shared" si="1" ref="E5:E10">+D5/$D$10*100</f>
        <v>1.593409567165533</v>
      </c>
      <c r="F5" s="270">
        <v>63071</v>
      </c>
      <c r="G5" s="271">
        <f>+(F5/$F$10)*100</f>
        <v>1.5305278065338692</v>
      </c>
      <c r="H5" s="270">
        <v>62700</v>
      </c>
      <c r="I5" s="271">
        <f>+(H5/$H$10)*100</f>
        <v>1.4553689186121492</v>
      </c>
      <c r="J5" s="270">
        <v>62377</v>
      </c>
      <c r="K5" s="271">
        <f>+(J5/$J$10)*100</f>
        <v>1.4498520675331643</v>
      </c>
    </row>
    <row r="6" spans="1:11" s="3" customFormat="1" ht="14.25">
      <c r="A6" s="399" t="s">
        <v>398</v>
      </c>
      <c r="B6" s="272">
        <v>2555965</v>
      </c>
      <c r="C6" s="271">
        <f t="shared" si="0"/>
        <v>68.20320778274366</v>
      </c>
      <c r="D6" s="270">
        <v>2694834</v>
      </c>
      <c r="E6" s="271">
        <f t="shared" si="1"/>
        <v>68.47460934671199</v>
      </c>
      <c r="F6" s="270">
        <v>2838422</v>
      </c>
      <c r="G6" s="271">
        <f>+(F6/$F$10)*100</f>
        <v>68.87925984489668</v>
      </c>
      <c r="H6" s="270">
        <v>2988054</v>
      </c>
      <c r="I6" s="271">
        <f>+(H6/$H$10)*100</f>
        <v>69.3575904104419</v>
      </c>
      <c r="J6" s="270">
        <v>2984847</v>
      </c>
      <c r="K6" s="271">
        <f>+(J6/$J$10)*100</f>
        <v>69.37792125655551</v>
      </c>
    </row>
    <row r="7" spans="1:11" s="3" customFormat="1" ht="14.25">
      <c r="A7" s="399" t="s">
        <v>56</v>
      </c>
      <c r="B7" s="272">
        <v>1002706</v>
      </c>
      <c r="C7" s="271">
        <f t="shared" si="0"/>
        <v>26.75614324257326</v>
      </c>
      <c r="D7" s="270">
        <v>1051052</v>
      </c>
      <c r="E7" s="271">
        <f t="shared" si="1"/>
        <v>26.706793480815637</v>
      </c>
      <c r="F7" s="270">
        <v>1091904</v>
      </c>
      <c r="G7" s="271">
        <f>+(F7/$F$10)*100</f>
        <v>26.496954766303976</v>
      </c>
      <c r="H7" s="270">
        <v>1130420</v>
      </c>
      <c r="I7" s="271">
        <f>+(H7/$H$10)*100</f>
        <v>26.238885693421775</v>
      </c>
      <c r="J7" s="270">
        <v>1128331</v>
      </c>
      <c r="K7" s="271">
        <f>+(J7/$J$10)*100</f>
        <v>26.226221735764188</v>
      </c>
    </row>
    <row r="8" spans="1:11" s="3" customFormat="1" ht="14.25">
      <c r="A8" s="399" t="s">
        <v>224</v>
      </c>
      <c r="B8" s="272">
        <v>51431</v>
      </c>
      <c r="C8" s="271">
        <f t="shared" si="0"/>
        <v>1.3723815386651574</v>
      </c>
      <c r="D8" s="270">
        <v>51959</v>
      </c>
      <c r="E8" s="271">
        <f t="shared" si="1"/>
        <v>1.3202565453181192</v>
      </c>
      <c r="F8" s="270">
        <v>53063</v>
      </c>
      <c r="G8" s="271">
        <f>+(F8/$F$10)*100</f>
        <v>1.2876662332626199</v>
      </c>
      <c r="H8" s="270">
        <v>53584</v>
      </c>
      <c r="I8" s="271">
        <f>+(H8/$H$10)*100</f>
        <v>1.2437717405887303</v>
      </c>
      <c r="J8" s="270">
        <v>53498</v>
      </c>
      <c r="K8" s="271">
        <f>+(J8/$J$10)*100</f>
        <v>1.2434741316332818</v>
      </c>
    </row>
    <row r="9" spans="1:11" s="3" customFormat="1" ht="24" customHeight="1">
      <c r="A9" s="274" t="s">
        <v>113</v>
      </c>
      <c r="B9" s="272">
        <v>74929</v>
      </c>
      <c r="C9" s="271">
        <f t="shared" si="0"/>
        <v>1.9994006787859768</v>
      </c>
      <c r="D9" s="270">
        <v>74969</v>
      </c>
      <c r="E9" s="271">
        <f t="shared" si="1"/>
        <v>1.9049310599887233</v>
      </c>
      <c r="F9" s="270">
        <v>74406</v>
      </c>
      <c r="G9" s="271">
        <f>+(F9/$F$10)*100</f>
        <v>1.8055913490028552</v>
      </c>
      <c r="H9" s="270">
        <v>73428</v>
      </c>
      <c r="I9" s="271">
        <f>+(H9/$H$10)*100</f>
        <v>1.7043832369354528</v>
      </c>
      <c r="J9" s="270">
        <v>73248</v>
      </c>
      <c r="K9" s="271">
        <f>+(J9/$J$10)*100</f>
        <v>1.7025308085138628</v>
      </c>
    </row>
    <row r="10" spans="1:11" s="3" customFormat="1" ht="14.25">
      <c r="A10" s="399" t="s">
        <v>8</v>
      </c>
      <c r="B10" s="571">
        <f>SUM(B5:B9)</f>
        <v>3747573</v>
      </c>
      <c r="C10" s="572">
        <f t="shared" si="0"/>
        <v>100</v>
      </c>
      <c r="D10" s="571">
        <f>SUM(D5:D9)</f>
        <v>3935523</v>
      </c>
      <c r="E10" s="572">
        <f t="shared" si="1"/>
        <v>100</v>
      </c>
      <c r="F10" s="571">
        <f>SUM(F5:F9)</f>
        <v>4120866</v>
      </c>
      <c r="G10" s="572">
        <f>+F10/$F$10*100</f>
        <v>100</v>
      </c>
      <c r="H10" s="571">
        <f>SUM(H5:H9)</f>
        <v>4308186</v>
      </c>
      <c r="I10" s="572">
        <f>+H10/$H$10*100</f>
        <v>100</v>
      </c>
      <c r="J10" s="571">
        <f>SUM(J5:J9)</f>
        <v>4302301</v>
      </c>
      <c r="K10" s="575">
        <f>SUM(K5:K9)</f>
        <v>99.99999999999999</v>
      </c>
    </row>
    <row r="28" spans="1:5" ht="24" customHeight="1">
      <c r="A28" s="376" t="s">
        <v>153</v>
      </c>
      <c r="B28" s="85"/>
      <c r="C28" s="85"/>
      <c r="D28" s="85"/>
      <c r="E28" s="85"/>
    </row>
    <row r="29" ht="19.5" customHeight="1">
      <c r="A29" s="5" t="s">
        <v>477</v>
      </c>
    </row>
    <row r="30" spans="1:9" ht="28.5" customHeight="1">
      <c r="A30" s="276" t="s">
        <v>54</v>
      </c>
      <c r="B30" s="276">
        <v>1999</v>
      </c>
      <c r="C30" s="276">
        <v>2000</v>
      </c>
      <c r="D30" s="276">
        <v>2001</v>
      </c>
      <c r="E30" s="276">
        <v>2002</v>
      </c>
      <c r="F30" s="276">
        <v>2003</v>
      </c>
      <c r="G30" s="276">
        <v>2004</v>
      </c>
      <c r="H30" s="566">
        <v>2005</v>
      </c>
      <c r="I30" s="577"/>
    </row>
    <row r="31" spans="1:9" ht="15">
      <c r="A31" s="269" t="s">
        <v>57</v>
      </c>
      <c r="B31" s="277">
        <v>4893</v>
      </c>
      <c r="C31" s="277">
        <v>5185</v>
      </c>
      <c r="D31" s="277">
        <v>5539</v>
      </c>
      <c r="E31" s="277">
        <v>5079</v>
      </c>
      <c r="F31" s="277">
        <v>4385</v>
      </c>
      <c r="G31" s="277">
        <v>3987</v>
      </c>
      <c r="H31" s="567">
        <v>3715</v>
      </c>
      <c r="I31" s="578"/>
    </row>
    <row r="32" spans="1:9" ht="15">
      <c r="A32" s="269" t="s">
        <v>55</v>
      </c>
      <c r="B32" s="277">
        <v>198879</v>
      </c>
      <c r="C32" s="277">
        <v>188628</v>
      </c>
      <c r="D32" s="277">
        <v>209281</v>
      </c>
      <c r="E32" s="277">
        <v>182759</v>
      </c>
      <c r="F32" s="277">
        <v>177792</v>
      </c>
      <c r="G32" s="277">
        <v>169913</v>
      </c>
      <c r="H32" s="567">
        <v>201696</v>
      </c>
      <c r="I32" s="578"/>
    </row>
    <row r="33" spans="1:9" ht="15">
      <c r="A33" s="269" t="s">
        <v>276</v>
      </c>
      <c r="B33" s="277">
        <v>89558</v>
      </c>
      <c r="C33" s="277">
        <v>94113</v>
      </c>
      <c r="D33" s="277">
        <v>86534</v>
      </c>
      <c r="E33" s="277">
        <v>91138</v>
      </c>
      <c r="F33" s="277">
        <v>92065</v>
      </c>
      <c r="G33" s="277">
        <v>80992</v>
      </c>
      <c r="H33" s="567">
        <v>95623</v>
      </c>
      <c r="I33" s="578"/>
    </row>
    <row r="34" spans="1:9" ht="15">
      <c r="A34" s="269" t="s">
        <v>224</v>
      </c>
      <c r="B34" s="277">
        <f>3407-939</f>
        <v>2468</v>
      </c>
      <c r="C34" s="277">
        <v>1818</v>
      </c>
      <c r="D34" s="277">
        <v>2183</v>
      </c>
      <c r="E34" s="277">
        <v>2087</v>
      </c>
      <c r="F34" s="277">
        <v>1596</v>
      </c>
      <c r="G34" s="277">
        <v>1693</v>
      </c>
      <c r="H34" s="567">
        <v>1639</v>
      </c>
      <c r="I34" s="578"/>
    </row>
    <row r="35" spans="1:9" ht="37.5" customHeight="1">
      <c r="A35" s="273" t="s">
        <v>254</v>
      </c>
      <c r="B35" s="277">
        <v>4597</v>
      </c>
      <c r="C35" s="277">
        <v>4045</v>
      </c>
      <c r="D35" s="277">
        <v>3754</v>
      </c>
      <c r="E35" s="277">
        <v>3413</v>
      </c>
      <c r="F35" s="277">
        <v>3000</v>
      </c>
      <c r="G35" s="277">
        <v>3087</v>
      </c>
      <c r="H35" s="567">
        <v>3736</v>
      </c>
      <c r="I35" s="578"/>
    </row>
    <row r="36" spans="1:9" ht="15">
      <c r="A36" s="278" t="s">
        <v>8</v>
      </c>
      <c r="B36" s="279">
        <f aca="true" t="shared" si="2" ref="B36:H36">SUM(B31:B35)</f>
        <v>300395</v>
      </c>
      <c r="C36" s="279">
        <f t="shared" si="2"/>
        <v>293789</v>
      </c>
      <c r="D36" s="279">
        <f t="shared" si="2"/>
        <v>307291</v>
      </c>
      <c r="E36" s="279">
        <f t="shared" si="2"/>
        <v>284476</v>
      </c>
      <c r="F36" s="279">
        <f t="shared" si="2"/>
        <v>278838</v>
      </c>
      <c r="G36" s="279">
        <f t="shared" si="2"/>
        <v>259672</v>
      </c>
      <c r="H36" s="568">
        <f t="shared" si="2"/>
        <v>306409</v>
      </c>
      <c r="I36" s="579"/>
    </row>
    <row r="52" ht="18">
      <c r="C52" s="447" t="s">
        <v>0</v>
      </c>
    </row>
  </sheetData>
  <printOptions horizontalCentered="1" verticalCentered="1"/>
  <pageMargins left="0.69" right="0.15748031496062992" top="0.35433070866141736" bottom="0.31496062992125984" header="0.38" footer="0.27"/>
  <pageSetup fitToHeight="1" fitToWidth="1" horizontalDpi="300" verticalDpi="300" orientation="portrait" paperSize="9" scale="87" r:id="rId2"/>
  <headerFooter alignWithMargins="0">
    <oddFooter>&amp;C17</oddFooter>
  </headerFooter>
  <ignoredErrors>
    <ignoredError sqref="B10" formulaRange="1"/>
    <ignoredError sqref="C10:G10" formula="1" formulaRange="1"/>
  </ignoredErrors>
  <drawing r:id="rId1"/>
</worksheet>
</file>

<file path=xl/worksheets/sheet2.xml><?xml version="1.0" encoding="utf-8"?>
<worksheet xmlns="http://schemas.openxmlformats.org/spreadsheetml/2006/main" xmlns:r="http://schemas.openxmlformats.org/officeDocument/2006/relationships">
  <dimension ref="A2:D28"/>
  <sheetViews>
    <sheetView showGridLines="0" workbookViewId="0" topLeftCell="A2">
      <selection activeCell="D25" sqref="D25"/>
    </sheetView>
  </sheetViews>
  <sheetFormatPr defaultColWidth="9.00390625" defaultRowHeight="12.75"/>
  <cols>
    <col min="1" max="1" width="71.625" style="112" customWidth="1"/>
    <col min="2" max="2" width="7.00390625" style="0" customWidth="1"/>
    <col min="3" max="3" width="1.625" style="0" customWidth="1"/>
    <col min="4" max="4" width="11.75390625" style="0" customWidth="1"/>
  </cols>
  <sheetData>
    <row r="1" ht="12.75" hidden="1"/>
    <row r="2" spans="1:3" ht="26.25" customHeight="1">
      <c r="A2" s="185" t="s">
        <v>95</v>
      </c>
      <c r="B2" s="185"/>
      <c r="C2" s="185"/>
    </row>
    <row r="3" spans="2:4" ht="27" customHeight="1" thickBot="1">
      <c r="B3" s="239" t="s">
        <v>96</v>
      </c>
      <c r="C3" s="101"/>
      <c r="D3" s="221" t="s">
        <v>260</v>
      </c>
    </row>
    <row r="4" spans="1:4" ht="21.75" customHeight="1">
      <c r="A4" s="218" t="s">
        <v>176</v>
      </c>
      <c r="B4" s="100">
        <v>1</v>
      </c>
      <c r="C4" s="101"/>
      <c r="D4" s="222" t="s">
        <v>86</v>
      </c>
    </row>
    <row r="5" spans="1:4" ht="27.75" customHeight="1">
      <c r="A5" s="218" t="s">
        <v>200</v>
      </c>
      <c r="B5" s="100">
        <v>2</v>
      </c>
      <c r="C5" s="101"/>
      <c r="D5" s="223" t="s">
        <v>261</v>
      </c>
    </row>
    <row r="6" spans="1:4" ht="27.75" customHeight="1">
      <c r="A6" s="218" t="s">
        <v>485</v>
      </c>
      <c r="B6" s="129">
        <v>3</v>
      </c>
      <c r="C6" s="101"/>
      <c r="D6" s="223" t="s">
        <v>262</v>
      </c>
    </row>
    <row r="7" spans="1:4" ht="27.75" customHeight="1">
      <c r="A7" s="218" t="s">
        <v>486</v>
      </c>
      <c r="B7" s="100">
        <v>3</v>
      </c>
      <c r="C7" s="101"/>
      <c r="D7" s="223" t="s">
        <v>263</v>
      </c>
    </row>
    <row r="8" spans="1:4" ht="27.75" customHeight="1">
      <c r="A8" s="218" t="s">
        <v>487</v>
      </c>
      <c r="B8" s="100">
        <v>4</v>
      </c>
      <c r="C8" s="101"/>
      <c r="D8" s="223" t="s">
        <v>264</v>
      </c>
    </row>
    <row r="9" spans="1:4" ht="27.75" customHeight="1">
      <c r="A9" s="218" t="s">
        <v>488</v>
      </c>
      <c r="B9" s="100">
        <v>5</v>
      </c>
      <c r="C9" s="101"/>
      <c r="D9" s="223" t="s">
        <v>265</v>
      </c>
    </row>
    <row r="10" spans="1:4" s="112" customFormat="1" ht="27.75" customHeight="1">
      <c r="A10" s="218" t="s">
        <v>247</v>
      </c>
      <c r="B10" s="100">
        <v>6</v>
      </c>
      <c r="C10" s="100"/>
      <c r="D10" s="223" t="s">
        <v>489</v>
      </c>
    </row>
    <row r="11" spans="1:4" s="112" customFormat="1" ht="27.75" customHeight="1">
      <c r="A11" s="218" t="s">
        <v>255</v>
      </c>
      <c r="B11" s="100">
        <v>7</v>
      </c>
      <c r="C11" s="100"/>
      <c r="D11" s="223" t="s">
        <v>490</v>
      </c>
    </row>
    <row r="12" spans="1:4" s="112" customFormat="1" ht="27.75" customHeight="1">
      <c r="A12" s="218" t="s">
        <v>206</v>
      </c>
      <c r="B12" s="100">
        <v>8</v>
      </c>
      <c r="C12" s="100"/>
      <c r="D12" s="223" t="s">
        <v>404</v>
      </c>
    </row>
    <row r="13" spans="1:4" ht="27.75" customHeight="1">
      <c r="A13" s="218" t="s">
        <v>256</v>
      </c>
      <c r="B13" s="100">
        <v>9</v>
      </c>
      <c r="C13" s="101"/>
      <c r="D13" s="223" t="s">
        <v>266</v>
      </c>
    </row>
    <row r="14" spans="1:4" ht="27.75" customHeight="1">
      <c r="A14" s="218" t="s">
        <v>442</v>
      </c>
      <c r="B14" s="100">
        <v>10</v>
      </c>
      <c r="C14" s="101"/>
      <c r="D14" s="223" t="s">
        <v>267</v>
      </c>
    </row>
    <row r="15" spans="1:4" ht="27.75" customHeight="1">
      <c r="A15" s="218" t="s">
        <v>395</v>
      </c>
      <c r="B15" s="100">
        <v>11</v>
      </c>
      <c r="C15" s="101"/>
      <c r="D15" s="223" t="s">
        <v>268</v>
      </c>
    </row>
    <row r="16" spans="1:4" ht="27.75" customHeight="1">
      <c r="A16" s="218" t="s">
        <v>443</v>
      </c>
      <c r="B16" s="120">
        <v>12</v>
      </c>
      <c r="C16" s="101"/>
      <c r="D16" s="223" t="s">
        <v>269</v>
      </c>
    </row>
    <row r="17" spans="1:4" ht="24.75" customHeight="1">
      <c r="A17" s="218" t="s">
        <v>203</v>
      </c>
      <c r="B17" s="100">
        <v>13</v>
      </c>
      <c r="C17" s="101"/>
      <c r="D17" s="223" t="s">
        <v>270</v>
      </c>
    </row>
    <row r="18" spans="1:4" ht="22.5" customHeight="1">
      <c r="A18" s="218" t="s">
        <v>248</v>
      </c>
      <c r="B18" s="100">
        <v>14</v>
      </c>
      <c r="C18" s="101"/>
      <c r="D18" s="223" t="s">
        <v>491</v>
      </c>
    </row>
    <row r="19" spans="1:4" ht="25.5" customHeight="1">
      <c r="A19" s="218" t="s">
        <v>97</v>
      </c>
      <c r="B19" s="100">
        <v>15</v>
      </c>
      <c r="C19" s="101"/>
      <c r="D19" s="223" t="s">
        <v>492</v>
      </c>
    </row>
    <row r="20" spans="1:4" ht="24.75" customHeight="1">
      <c r="A20" s="218" t="s">
        <v>98</v>
      </c>
      <c r="B20" s="100">
        <v>16</v>
      </c>
      <c r="C20" s="101"/>
      <c r="D20" s="223" t="s">
        <v>405</v>
      </c>
    </row>
    <row r="21" spans="1:4" ht="27.75" customHeight="1">
      <c r="A21" s="218" t="s">
        <v>99</v>
      </c>
      <c r="B21" s="100">
        <v>17</v>
      </c>
      <c r="C21" s="101"/>
      <c r="D21" s="223" t="s">
        <v>493</v>
      </c>
    </row>
    <row r="22" spans="1:4" ht="27.75" customHeight="1">
      <c r="A22" s="218" t="s">
        <v>100</v>
      </c>
      <c r="B22" s="100">
        <v>18</v>
      </c>
      <c r="C22" s="101"/>
      <c r="D22" s="223" t="s">
        <v>494</v>
      </c>
    </row>
    <row r="23" spans="1:4" ht="27.75" customHeight="1">
      <c r="A23" s="218" t="s">
        <v>101</v>
      </c>
      <c r="B23" s="120">
        <v>19</v>
      </c>
      <c r="C23" s="101"/>
      <c r="D23" s="223" t="s">
        <v>406</v>
      </c>
    </row>
    <row r="24" spans="1:4" ht="27.75" customHeight="1">
      <c r="A24" s="218" t="s">
        <v>407</v>
      </c>
      <c r="B24" s="100">
        <v>20</v>
      </c>
      <c r="C24" s="101"/>
      <c r="D24" s="223" t="s">
        <v>495</v>
      </c>
    </row>
    <row r="25" spans="1:4" ht="27.75" customHeight="1">
      <c r="A25" s="218" t="s">
        <v>396</v>
      </c>
      <c r="B25" s="100">
        <v>21</v>
      </c>
      <c r="C25" s="101"/>
      <c r="D25" s="223" t="s">
        <v>496</v>
      </c>
    </row>
    <row r="26" spans="1:4" ht="19.5" customHeight="1">
      <c r="A26" s="218" t="s">
        <v>444</v>
      </c>
      <c r="B26" s="100">
        <v>21</v>
      </c>
      <c r="C26" s="101"/>
      <c r="D26" s="223" t="s">
        <v>497</v>
      </c>
    </row>
    <row r="27" spans="1:4" ht="18" customHeight="1">
      <c r="A27" s="218"/>
      <c r="B27" s="100"/>
      <c r="D27" s="223"/>
    </row>
    <row r="28" ht="12.75">
      <c r="A28" s="446" t="s">
        <v>0</v>
      </c>
    </row>
  </sheetData>
  <printOptions/>
  <pageMargins left="0.62" right="0.2" top="0.87" bottom="1" header="0.5" footer="0.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G70"/>
  <sheetViews>
    <sheetView showGridLines="0" workbookViewId="0" topLeftCell="A59">
      <selection activeCell="A69" sqref="A69:E69"/>
    </sheetView>
  </sheetViews>
  <sheetFormatPr defaultColWidth="9.00390625" defaultRowHeight="12.75"/>
  <cols>
    <col min="1" max="1" width="23.375" style="34" customWidth="1"/>
    <col min="2" max="2" width="17.375" style="34" customWidth="1"/>
    <col min="3" max="3" width="16.375" style="34" customWidth="1"/>
    <col min="4" max="4" width="10.375" style="34" customWidth="1"/>
    <col min="5" max="5" width="11.875" style="34" customWidth="1"/>
    <col min="6" max="16384" width="9.125" style="34" customWidth="1"/>
  </cols>
  <sheetData>
    <row r="1" spans="1:5" ht="12" customHeight="1">
      <c r="A1" s="700" t="s">
        <v>155</v>
      </c>
      <c r="B1" s="701"/>
      <c r="C1" s="701"/>
      <c r="D1" s="701"/>
      <c r="E1" s="701"/>
    </row>
    <row r="2" spans="1:5" ht="12" customHeight="1">
      <c r="A2" s="700" t="s">
        <v>58</v>
      </c>
      <c r="B2" s="701"/>
      <c r="C2" s="701"/>
      <c r="D2" s="701"/>
      <c r="E2" s="701"/>
    </row>
    <row r="3" spans="1:5" ht="12.75">
      <c r="A3" s="4" t="s">
        <v>478</v>
      </c>
      <c r="B3" s="14"/>
      <c r="C3" s="14"/>
      <c r="D3" s="14"/>
      <c r="E3" s="14"/>
    </row>
    <row r="4" spans="1:5" ht="24" customHeight="1">
      <c r="A4" s="348" t="s">
        <v>59</v>
      </c>
      <c r="B4" s="348" t="s">
        <v>333</v>
      </c>
      <c r="C4" s="348" t="s">
        <v>334</v>
      </c>
      <c r="D4" s="348" t="s">
        <v>400</v>
      </c>
      <c r="E4" s="348" t="s">
        <v>401</v>
      </c>
    </row>
    <row r="5" spans="1:5" ht="12.75">
      <c r="A5" s="349" t="s">
        <v>60</v>
      </c>
      <c r="B5" s="335">
        <v>88975810</v>
      </c>
      <c r="C5" s="335">
        <v>168607315</v>
      </c>
      <c r="D5" s="335"/>
      <c r="E5" s="336"/>
    </row>
    <row r="6" spans="1:5" ht="12.75">
      <c r="A6" s="350" t="s">
        <v>61</v>
      </c>
      <c r="B6" s="337">
        <v>119051010</v>
      </c>
      <c r="C6" s="337">
        <v>227096944</v>
      </c>
      <c r="D6" s="337"/>
      <c r="E6" s="338"/>
    </row>
    <row r="7" spans="1:5" ht="15" customHeight="1">
      <c r="A7" s="351"/>
      <c r="B7" s="703" t="s">
        <v>336</v>
      </c>
      <c r="C7" s="703"/>
      <c r="D7" s="474">
        <v>43.7</v>
      </c>
      <c r="E7" s="340">
        <v>39</v>
      </c>
    </row>
    <row r="8" spans="1:5" ht="12.75">
      <c r="A8" s="349" t="s">
        <v>335</v>
      </c>
      <c r="B8" s="335">
        <v>121910036</v>
      </c>
      <c r="C8" s="335">
        <v>232637118</v>
      </c>
      <c r="D8" s="335"/>
      <c r="E8" s="336" t="s">
        <v>0</v>
      </c>
    </row>
    <row r="9" spans="1:5" ht="12.75">
      <c r="A9" s="349" t="s">
        <v>62</v>
      </c>
      <c r="B9" s="335">
        <v>196036344</v>
      </c>
      <c r="C9" s="335">
        <v>376816438</v>
      </c>
      <c r="D9" s="335"/>
      <c r="E9" s="336" t="s">
        <v>0</v>
      </c>
    </row>
    <row r="10" spans="1:5" ht="18" customHeight="1">
      <c r="A10" s="351"/>
      <c r="B10" s="703" t="s">
        <v>336</v>
      </c>
      <c r="C10" s="703"/>
      <c r="D10" s="474">
        <v>67.3</v>
      </c>
      <c r="E10" s="339">
        <v>68.5</v>
      </c>
    </row>
    <row r="11" spans="1:5" ht="12.75">
      <c r="A11" s="352" t="s">
        <v>63</v>
      </c>
      <c r="B11" s="335">
        <f>+(B9-4690000)*1.032+4690000</f>
        <v>202159427.00800002</v>
      </c>
      <c r="C11" s="335">
        <f>+(C9-4690000)*1.032+4690000</f>
        <v>388724484.01600003</v>
      </c>
      <c r="D11" s="335"/>
      <c r="E11" s="336" t="s">
        <v>0</v>
      </c>
    </row>
    <row r="12" spans="1:5" ht="12.75" hidden="1">
      <c r="A12" s="352" t="s">
        <v>64</v>
      </c>
      <c r="B12" s="335">
        <f>+(B11-4690000)*1.053+4690000</f>
        <v>212625306.639424</v>
      </c>
      <c r="C12" s="335">
        <f>+(C11-4690000)*1.053+4690000</f>
        <v>409078311.66884804</v>
      </c>
      <c r="D12" s="335"/>
      <c r="E12" s="336">
        <v>5.3</v>
      </c>
    </row>
    <row r="13" spans="1:5" ht="12.75" hidden="1">
      <c r="A13" s="352" t="s">
        <v>65</v>
      </c>
      <c r="B13" s="335">
        <f>+(B12-4690000)*1.018+4690000</f>
        <v>216368142.15893364</v>
      </c>
      <c r="C13" s="335">
        <f>+(C12-4690000)*1.018+4690000</f>
        <v>416357301.27888733</v>
      </c>
      <c r="D13" s="335"/>
      <c r="E13" s="336">
        <v>1.8</v>
      </c>
    </row>
    <row r="14" spans="1:5" ht="12.75" hidden="1">
      <c r="A14" s="352" t="s">
        <v>66</v>
      </c>
      <c r="B14" s="335">
        <f>+(B13-4690000)*1.012+4690000</f>
        <v>218908279.86484084</v>
      </c>
      <c r="C14" s="335">
        <f>+(C13-4690000)*1.012+4690000</f>
        <v>421297308.894234</v>
      </c>
      <c r="D14" s="335"/>
      <c r="E14" s="336">
        <v>1.2</v>
      </c>
    </row>
    <row r="15" spans="1:5" ht="12.75" hidden="1">
      <c r="A15" s="352" t="s">
        <v>67</v>
      </c>
      <c r="B15" s="335">
        <f>+(B14-4690000)*1.021+4690000</f>
        <v>223406863.7420025</v>
      </c>
      <c r="C15" s="335">
        <f>+(C14-4690000)*1.021+4690000</f>
        <v>430046062.38101286</v>
      </c>
      <c r="D15" s="335"/>
      <c r="E15" s="336">
        <v>2.1</v>
      </c>
    </row>
    <row r="16" spans="1:5" ht="12.75" hidden="1">
      <c r="A16" s="352" t="s">
        <v>68</v>
      </c>
      <c r="B16" s="335">
        <f>+(B15-4690000)*1.006+4690000</f>
        <v>224719164.9244545</v>
      </c>
      <c r="C16" s="335">
        <f>+(C15-4690000)*1.006+4690000</f>
        <v>432598198.7552989</v>
      </c>
      <c r="D16" s="335"/>
      <c r="E16" s="336">
        <v>0.6</v>
      </c>
    </row>
    <row r="17" spans="1:5" ht="12.75" hidden="1">
      <c r="A17" s="352" t="s">
        <v>69</v>
      </c>
      <c r="B17" s="335">
        <f>+(B16-4690000)*1.006+4690000</f>
        <v>226039339.91400123</v>
      </c>
      <c r="C17" s="335">
        <f>+(C16-4690000)*1.006+4690000+8</f>
        <v>435165655.94783074</v>
      </c>
      <c r="D17" s="335"/>
      <c r="E17" s="336">
        <v>0.6</v>
      </c>
    </row>
    <row r="18" spans="1:5" ht="12.75" hidden="1">
      <c r="A18" s="352" t="s">
        <v>70</v>
      </c>
      <c r="B18" s="335">
        <f>+(B17-4690000)*1.014+4690000+8</f>
        <v>229138238.67279723</v>
      </c>
      <c r="C18" s="335">
        <f>+(C17-4690000)*1.014+4690000+1</f>
        <v>441192316.13110036</v>
      </c>
      <c r="D18" s="335"/>
      <c r="E18" s="336">
        <v>1.4</v>
      </c>
    </row>
    <row r="19" spans="1:5" ht="12.75" hidden="1">
      <c r="A19" s="352" t="s">
        <v>71</v>
      </c>
      <c r="B19" s="335">
        <f>+(B18-4690000)*1.022+4690000+1</f>
        <v>234076100.92359877</v>
      </c>
      <c r="C19" s="335">
        <f>+(C18-4690000)*1.022+4690000</f>
        <v>450795367.0859846</v>
      </c>
      <c r="D19" s="335"/>
      <c r="E19" s="336">
        <v>2.2</v>
      </c>
    </row>
    <row r="20" spans="1:5" ht="12.75" hidden="1">
      <c r="A20" s="352" t="s">
        <v>72</v>
      </c>
      <c r="B20" s="335">
        <f>+(B19-4690000)*1.035+4690000+1</f>
        <v>242104615.45592472</v>
      </c>
      <c r="C20" s="335">
        <f>+(C19-4690000)*1.035+4690000</f>
        <v>466409054.933994</v>
      </c>
      <c r="D20" s="335"/>
      <c r="E20" s="336">
        <v>3.5</v>
      </c>
    </row>
    <row r="21" spans="1:5" ht="12.75" hidden="1">
      <c r="A21" s="352" t="s">
        <v>73</v>
      </c>
      <c r="B21" s="335">
        <f>+(B20-4690000)*1.033+4690000</f>
        <v>249939297.76597023</v>
      </c>
      <c r="C21" s="335">
        <f>+(C20-4690000)*1.033+4690000</f>
        <v>481645783.74681574</v>
      </c>
      <c r="D21" s="335"/>
      <c r="E21" s="336">
        <v>3.3</v>
      </c>
    </row>
    <row r="22" spans="1:5" ht="14.25" customHeight="1">
      <c r="A22" s="352" t="s">
        <v>74</v>
      </c>
      <c r="B22" s="335">
        <f>+(B21-4690000)*1.029+1+4690000</f>
        <v>257051528.40118334</v>
      </c>
      <c r="C22" s="335">
        <f>+(C21-4690000)*1.029+1+4690000</f>
        <v>495477502.47547334</v>
      </c>
      <c r="D22" s="335"/>
      <c r="E22" s="336" t="s">
        <v>0</v>
      </c>
    </row>
    <row r="23" spans="1:7" ht="15" customHeight="1">
      <c r="A23" s="351"/>
      <c r="B23" s="703" t="s">
        <v>336</v>
      </c>
      <c r="C23" s="703"/>
      <c r="D23" s="474">
        <v>31.9</v>
      </c>
      <c r="E23" s="340">
        <v>29.7</v>
      </c>
      <c r="G23" s="34" t="s">
        <v>0</v>
      </c>
    </row>
    <row r="24" spans="1:5" ht="12.75" hidden="1">
      <c r="A24" s="353" t="s">
        <v>156</v>
      </c>
      <c r="B24" s="341">
        <v>261089313</v>
      </c>
      <c r="C24" s="341">
        <v>503330103</v>
      </c>
      <c r="D24" s="341"/>
      <c r="E24" s="342">
        <v>1.6</v>
      </c>
    </row>
    <row r="25" spans="1:5" ht="12.75" hidden="1">
      <c r="A25" s="354" t="s">
        <v>157</v>
      </c>
      <c r="B25" s="343">
        <f>75000000-(B24-B22)</f>
        <v>70962215.40118334</v>
      </c>
      <c r="C25" s="343">
        <f>75000000-(C24-C22)</f>
        <v>67147399.47547334</v>
      </c>
      <c r="D25" s="343"/>
      <c r="E25" s="344"/>
    </row>
    <row r="26" spans="1:5" ht="12.75">
      <c r="A26" s="353" t="s">
        <v>156</v>
      </c>
      <c r="B26" s="345">
        <v>332051528</v>
      </c>
      <c r="C26" s="345">
        <f>+C24+C25</f>
        <v>570477502.4754734</v>
      </c>
      <c r="D26" s="345"/>
      <c r="E26" s="342"/>
    </row>
    <row r="27" spans="1:5" ht="12.75" hidden="1">
      <c r="A27" s="354" t="s">
        <v>64</v>
      </c>
      <c r="B27" s="346">
        <f>+(B24-4690000)*(1+E27/100)+4690000</f>
        <v>267755695.138</v>
      </c>
      <c r="C27" s="346">
        <f>+((C24-4690000)*1.026+4690000)</f>
        <v>516294745.67800003</v>
      </c>
      <c r="D27" s="346"/>
      <c r="E27" s="347">
        <v>2.6</v>
      </c>
    </row>
    <row r="28" spans="1:5" ht="12.75" hidden="1">
      <c r="A28" s="354" t="s">
        <v>65</v>
      </c>
      <c r="B28" s="346">
        <f>+B25-(B27-B24)</f>
        <v>64295833.263183326</v>
      </c>
      <c r="C28" s="346">
        <f>+C25-(C27-C24)-1</f>
        <v>54182755.79747331</v>
      </c>
      <c r="D28" s="346"/>
      <c r="E28" s="347"/>
    </row>
    <row r="29" spans="1:5" ht="12.75" hidden="1">
      <c r="A29" s="354" t="s">
        <v>66</v>
      </c>
      <c r="B29" s="346">
        <f>+B27+B28</f>
        <v>332051528.40118337</v>
      </c>
      <c r="C29" s="346">
        <f>+C27+C28+1</f>
        <v>570477502.4754734</v>
      </c>
      <c r="D29" s="346"/>
      <c r="E29" s="347"/>
    </row>
    <row r="30" spans="1:5" ht="12.75" hidden="1">
      <c r="A30" s="354" t="s">
        <v>67</v>
      </c>
      <c r="B30" s="346">
        <f>+((B27-4690000)*1.023+4690000)+2</f>
        <v>273806208.126174</v>
      </c>
      <c r="C30" s="346">
        <f>+((C27-4690000)*1.023+4690000)-99</f>
        <v>528061555.82859397</v>
      </c>
      <c r="D30" s="346"/>
      <c r="E30" s="347">
        <v>2.3</v>
      </c>
    </row>
    <row r="31" spans="1:5" ht="12.75" hidden="1">
      <c r="A31" s="354" t="s">
        <v>68</v>
      </c>
      <c r="B31" s="346">
        <f>+B28-(B30-B27)</f>
        <v>58245320.275009364</v>
      </c>
      <c r="C31" s="346">
        <f>+C28-(C30-C27)</f>
        <v>42415945.646879375</v>
      </c>
      <c r="D31" s="346"/>
      <c r="E31" s="347"/>
    </row>
    <row r="32" spans="1:5" ht="12.75" hidden="1">
      <c r="A32" s="354" t="s">
        <v>69</v>
      </c>
      <c r="B32" s="346">
        <f>+B30+B31</f>
        <v>332051528.40118337</v>
      </c>
      <c r="C32" s="346">
        <f>+C30+C31+1</f>
        <v>570477502.4754734</v>
      </c>
      <c r="D32" s="346"/>
      <c r="E32" s="347"/>
    </row>
    <row r="33" spans="1:5" ht="12.75" hidden="1">
      <c r="A33" s="354" t="s">
        <v>70</v>
      </c>
      <c r="B33" s="346">
        <f>+((B30-4690000)*1.031+4690000)</f>
        <v>282148810.57808536</v>
      </c>
      <c r="C33" s="346">
        <f>+((C30-4690000)*1.031+4690000)+104</f>
        <v>544286178.0592804</v>
      </c>
      <c r="D33" s="346"/>
      <c r="E33" s="347">
        <v>3.1</v>
      </c>
    </row>
    <row r="34" spans="1:5" ht="12.75" hidden="1">
      <c r="A34" s="354" t="s">
        <v>71</v>
      </c>
      <c r="B34" s="346">
        <f>+B31-(B33-B30)-1</f>
        <v>49902716.823097974</v>
      </c>
      <c r="C34" s="346">
        <f>+C31-(C33-C30)+1</f>
        <v>26191324.41619295</v>
      </c>
      <c r="D34" s="346"/>
      <c r="E34" s="347" t="s">
        <v>0</v>
      </c>
    </row>
    <row r="35" spans="1:5" ht="12.75" hidden="1">
      <c r="A35" s="354" t="s">
        <v>72</v>
      </c>
      <c r="B35" s="346">
        <f>+B33+B34+1</f>
        <v>332051528.40118337</v>
      </c>
      <c r="C35" s="346">
        <f>+C33+C34</f>
        <v>570477502.4754734</v>
      </c>
      <c r="D35" s="346"/>
      <c r="E35" s="347" t="s">
        <v>0</v>
      </c>
    </row>
    <row r="36" spans="1:5" ht="12.75" hidden="1">
      <c r="A36" s="354" t="s">
        <v>73</v>
      </c>
      <c r="B36" s="346">
        <f>+((B33-4690000)*1.021+4690000)+1</f>
        <v>287975446.60022515</v>
      </c>
      <c r="C36" s="346">
        <f>+((C33-4690000)*1.021+4690000)</f>
        <v>555617697.7985252</v>
      </c>
      <c r="D36" s="346"/>
      <c r="E36" s="347">
        <v>2.1</v>
      </c>
    </row>
    <row r="37" spans="1:5" ht="12.75" hidden="1">
      <c r="A37" s="354" t="s">
        <v>74</v>
      </c>
      <c r="B37" s="346">
        <f>+B34-(B36-B33)</f>
        <v>44076080.80095819</v>
      </c>
      <c r="C37" s="346">
        <f>+C34-(C36-C33)-1</f>
        <v>14859803.67694813</v>
      </c>
      <c r="D37" s="346"/>
      <c r="E37" s="347"/>
    </row>
    <row r="38" spans="1:5" ht="12.75" hidden="1">
      <c r="A38" s="354" t="s">
        <v>112</v>
      </c>
      <c r="B38" s="346">
        <f>+B36+B37+1</f>
        <v>332051528.40118337</v>
      </c>
      <c r="C38" s="346">
        <f>+C36+C37+1</f>
        <v>570477502.4754734</v>
      </c>
      <c r="D38" s="346"/>
      <c r="E38" s="347"/>
    </row>
    <row r="39" spans="1:5" ht="12.75" hidden="1">
      <c r="A39" s="354" t="s">
        <v>271</v>
      </c>
      <c r="B39" s="346">
        <f>+((B36-4690000)*1.016+4690000)+1</f>
        <v>292508014.74582875</v>
      </c>
      <c r="C39" s="346">
        <f>+((C36-4690000)*1.016+4690000)+1</f>
        <v>564432541.9633017</v>
      </c>
      <c r="D39" s="346"/>
      <c r="E39" s="347">
        <v>1.6</v>
      </c>
    </row>
    <row r="40" spans="1:5" ht="12.75" hidden="1">
      <c r="A40" s="354" t="s">
        <v>157</v>
      </c>
      <c r="B40" s="346">
        <f>+(B37-(B39-B36))</f>
        <v>39543512.65535459</v>
      </c>
      <c r="C40" s="346">
        <f>+(C37-(C39-C36))</f>
        <v>6044959.512171686</v>
      </c>
      <c r="D40" s="346"/>
      <c r="E40" s="347"/>
    </row>
    <row r="41" spans="1:5" ht="1.5" customHeight="1" hidden="1" thickBot="1">
      <c r="A41" s="354" t="s">
        <v>112</v>
      </c>
      <c r="B41" s="346">
        <f>+B40+B39+1</f>
        <v>332051528.40118337</v>
      </c>
      <c r="C41" s="346">
        <f>+C40+C39+1</f>
        <v>570477502.4754734</v>
      </c>
      <c r="D41" s="346"/>
      <c r="E41" s="347"/>
    </row>
    <row r="42" spans="1:5" ht="12.75" hidden="1">
      <c r="A42" s="354" t="s">
        <v>278</v>
      </c>
      <c r="B42" s="346">
        <f>+B39</f>
        <v>292508014.74582875</v>
      </c>
      <c r="C42" s="346">
        <f>+C39</f>
        <v>564432541.9633017</v>
      </c>
      <c r="D42" s="346"/>
      <c r="E42" s="347">
        <v>-0.2</v>
      </c>
    </row>
    <row r="43" spans="1:5" ht="12.75" hidden="1">
      <c r="A43" s="354" t="s">
        <v>157</v>
      </c>
      <c r="B43" s="346">
        <f>+(B40-(B42-B39))</f>
        <v>39543512.65535459</v>
      </c>
      <c r="C43" s="346">
        <f>+(C40-(C42-C39))</f>
        <v>6044959.512171686</v>
      </c>
      <c r="D43" s="346"/>
      <c r="E43" s="347"/>
    </row>
    <row r="44" spans="1:5" ht="12.75" hidden="1">
      <c r="A44" s="354" t="s">
        <v>112</v>
      </c>
      <c r="B44" s="346">
        <f>+B43+B42+1</f>
        <v>332051528.40118337</v>
      </c>
      <c r="C44" s="346">
        <f>+C43+C42+1</f>
        <v>570477502.4754734</v>
      </c>
      <c r="D44" s="346"/>
      <c r="E44" s="347"/>
    </row>
    <row r="45" spans="1:5" ht="12.75" hidden="1">
      <c r="A45" s="354" t="s">
        <v>280</v>
      </c>
      <c r="B45" s="346">
        <f>+B42</f>
        <v>292508014.74582875</v>
      </c>
      <c r="C45" s="346">
        <f>+C42</f>
        <v>564432541.9633017</v>
      </c>
      <c r="D45" s="346"/>
      <c r="E45" s="347">
        <v>-0.4</v>
      </c>
    </row>
    <row r="46" spans="1:5" ht="12.75" hidden="1">
      <c r="A46" s="354" t="s">
        <v>157</v>
      </c>
      <c r="B46" s="346">
        <f>+(B43-(B45-B42))</f>
        <v>39543512.65535459</v>
      </c>
      <c r="C46" s="346">
        <f>+(C43-(C45-C42))</f>
        <v>6044959.512171686</v>
      </c>
      <c r="D46" s="346"/>
      <c r="E46" s="347"/>
    </row>
    <row r="47" spans="1:5" ht="12.75" hidden="1">
      <c r="A47" s="354" t="s">
        <v>112</v>
      </c>
      <c r="B47" s="346">
        <f>+B46+B45+1</f>
        <v>332051528.40118337</v>
      </c>
      <c r="C47" s="346">
        <f>+C46+C45+1</f>
        <v>570477502.4754734</v>
      </c>
      <c r="D47" s="346"/>
      <c r="E47" s="347"/>
    </row>
    <row r="48" spans="1:5" ht="12.75" hidden="1">
      <c r="A48" s="354" t="s">
        <v>292</v>
      </c>
      <c r="B48" s="346">
        <f>288393652+4690000-1</f>
        <v>293083651</v>
      </c>
      <c r="C48" s="346">
        <f>560862028+4690000-1</f>
        <v>565552027</v>
      </c>
      <c r="D48" s="346"/>
      <c r="E48" s="347">
        <v>0.2</v>
      </c>
    </row>
    <row r="49" spans="1:5" ht="12.75" hidden="1">
      <c r="A49" s="354" t="s">
        <v>157</v>
      </c>
      <c r="B49" s="346">
        <v>38967876</v>
      </c>
      <c r="C49" s="346">
        <v>4925474</v>
      </c>
      <c r="D49" s="346"/>
      <c r="E49" s="347"/>
    </row>
    <row r="50" spans="1:5" ht="12.75" hidden="1">
      <c r="A50" s="354" t="s">
        <v>112</v>
      </c>
      <c r="B50" s="346">
        <f>+B49+B48+1</f>
        <v>332051528</v>
      </c>
      <c r="C50" s="346">
        <f>+C49+C48+1</f>
        <v>570477502</v>
      </c>
      <c r="D50" s="346"/>
      <c r="E50" s="347"/>
    </row>
    <row r="51" spans="1:5" ht="12.75" hidden="1">
      <c r="A51" s="354" t="s">
        <v>324</v>
      </c>
      <c r="B51" s="346">
        <f>+((B48-4690000)*1.019+4690000)+2</f>
        <v>298563132.36899996</v>
      </c>
      <c r="C51" s="346">
        <f>+((C48-4690000)*1.019+4690000)+1</f>
        <v>576208406.5129999</v>
      </c>
      <c r="D51" s="346"/>
      <c r="E51" s="347">
        <v>1.9</v>
      </c>
    </row>
    <row r="52" spans="1:5" ht="12.75" hidden="1">
      <c r="A52" s="354" t="s">
        <v>157</v>
      </c>
      <c r="B52" s="346">
        <f>+(B49-(B51-B48))+1</f>
        <v>33488395.631000042</v>
      </c>
      <c r="C52" s="346">
        <v>0</v>
      </c>
      <c r="D52" s="346"/>
      <c r="E52" s="347"/>
    </row>
    <row r="53" spans="1:5" ht="0.75" customHeight="1" hidden="1">
      <c r="A53" s="354" t="s">
        <v>112</v>
      </c>
      <c r="B53" s="346">
        <f>+B52+B51</f>
        <v>332051528</v>
      </c>
      <c r="C53" s="346">
        <f>+C52+C51+1</f>
        <v>576208407.5129999</v>
      </c>
      <c r="D53" s="346"/>
      <c r="E53" s="347"/>
    </row>
    <row r="54" spans="1:5" ht="9" customHeight="1" hidden="1">
      <c r="A54" s="354" t="s">
        <v>330</v>
      </c>
      <c r="B54" s="346">
        <f>+((B51-4690000)*1.014+4690000)</f>
        <v>302677356.22216594</v>
      </c>
      <c r="C54" s="346">
        <f>+((C51-4690000)*1.014+4690000)+1</f>
        <v>584209665.2041819</v>
      </c>
      <c r="D54" s="346"/>
      <c r="E54" s="347">
        <v>1.4</v>
      </c>
    </row>
    <row r="55" spans="1:5" ht="12" customHeight="1" hidden="1">
      <c r="A55" s="354" t="s">
        <v>157</v>
      </c>
      <c r="B55" s="346">
        <f>+(B52-(B54-B51))</f>
        <v>29374171.777834058</v>
      </c>
      <c r="C55" s="346">
        <v>0</v>
      </c>
      <c r="D55" s="346"/>
      <c r="E55" s="347"/>
    </row>
    <row r="56" spans="1:5" ht="11.25" customHeight="1" hidden="1">
      <c r="A56" s="354" t="s">
        <v>112</v>
      </c>
      <c r="B56" s="346">
        <f>+B55+B54</f>
        <v>332051528</v>
      </c>
      <c r="C56" s="346">
        <f>+C55+C54</f>
        <v>584209665.2041819</v>
      </c>
      <c r="D56" s="346"/>
      <c r="E56" s="347"/>
    </row>
    <row r="57" spans="1:5" ht="11.25" customHeight="1" hidden="1">
      <c r="A57" s="354" t="s">
        <v>331</v>
      </c>
      <c r="B57" s="346">
        <f>+((B54-4690000)*1.016+4690000)</f>
        <v>307445153.9217206</v>
      </c>
      <c r="C57" s="346">
        <f>+((C54-4690000)*1.016+4690000)</f>
        <v>593481979.8474488</v>
      </c>
      <c r="D57" s="346"/>
      <c r="E57" s="347">
        <v>1.6</v>
      </c>
    </row>
    <row r="58" spans="1:5" ht="1.5" customHeight="1" hidden="1">
      <c r="A58" s="354" t="s">
        <v>157</v>
      </c>
      <c r="B58" s="346">
        <f>+(B55-(B57-B54))</f>
        <v>24606374.078279376</v>
      </c>
      <c r="C58" s="346">
        <v>0</v>
      </c>
      <c r="D58" s="346"/>
      <c r="E58" s="347"/>
    </row>
    <row r="59" spans="1:7" ht="17.25" customHeight="1">
      <c r="A59" s="355" t="s">
        <v>27</v>
      </c>
      <c r="B59" s="337">
        <v>332051528</v>
      </c>
      <c r="C59" s="337">
        <f>+C58+C57</f>
        <v>593481979.8474488</v>
      </c>
      <c r="D59" s="337"/>
      <c r="E59" s="338"/>
      <c r="G59" s="34" t="s">
        <v>0</v>
      </c>
    </row>
    <row r="60" spans="1:5" ht="16.5" customHeight="1">
      <c r="A60" s="420"/>
      <c r="B60" s="702" t="s">
        <v>336</v>
      </c>
      <c r="C60" s="702"/>
      <c r="D60" s="421">
        <f>((1.016*1.026*1.023*1.031*1.021*1.016*1.019*1.014*1.016*1.002)-1)*100</f>
        <v>19.968819733483166</v>
      </c>
      <c r="E60" s="421">
        <v>18.4</v>
      </c>
    </row>
    <row r="61" spans="1:5" ht="15.75" customHeight="1">
      <c r="A61" s="353" t="s">
        <v>381</v>
      </c>
      <c r="B61" s="345">
        <f>+(B59-4690000)*1.1+4690000</f>
        <v>364787680.8</v>
      </c>
      <c r="C61" s="345">
        <f>+(C59-4690000)*1.1+4690000</f>
        <v>652361177.8321937</v>
      </c>
      <c r="D61" s="345"/>
      <c r="E61" s="342" t="s">
        <v>0</v>
      </c>
    </row>
    <row r="62" spans="1:5" ht="12.75" customHeight="1">
      <c r="A62" s="355" t="s">
        <v>421</v>
      </c>
      <c r="B62" s="337">
        <f>+(B61-4690000)*1.1+4690000+50</f>
        <v>400797498.88000005</v>
      </c>
      <c r="C62" s="337">
        <f>+(C61-4690000)*1.1+4690000-49</f>
        <v>717128246.6154132</v>
      </c>
      <c r="D62" s="337"/>
      <c r="E62" s="338" t="s">
        <v>0</v>
      </c>
    </row>
    <row r="63" spans="1:5" ht="16.5" customHeight="1">
      <c r="A63" s="420"/>
      <c r="B63" s="702" t="s">
        <v>336</v>
      </c>
      <c r="C63" s="702"/>
      <c r="D63" s="421">
        <v>21</v>
      </c>
      <c r="E63" s="421">
        <v>9.3</v>
      </c>
    </row>
    <row r="64" spans="1:5" ht="18" customHeight="1">
      <c r="A64" s="353" t="s">
        <v>502</v>
      </c>
      <c r="B64" s="345">
        <f>+(B62-4690000)*1.06+4690000</f>
        <v>424563948.81280005</v>
      </c>
      <c r="C64" s="345">
        <f>+(C62-4690000)*1.06+4690000</f>
        <v>759874541.412338</v>
      </c>
      <c r="D64" s="544" t="s">
        <v>0</v>
      </c>
      <c r="E64" s="342" t="s">
        <v>0</v>
      </c>
    </row>
    <row r="65" spans="1:5" ht="18" customHeight="1">
      <c r="A65" s="355" t="s">
        <v>503</v>
      </c>
      <c r="B65" s="337">
        <f>+(B64-4690000)*1.06+4690000</f>
        <v>449756385.7415681</v>
      </c>
      <c r="C65" s="337">
        <f>+(C64-4690000)*1.06+4690000</f>
        <v>805185613.8970784</v>
      </c>
      <c r="D65" s="545" t="s">
        <v>0</v>
      </c>
      <c r="E65" s="338"/>
    </row>
    <row r="66" spans="1:5" ht="15.75" customHeight="1">
      <c r="A66" s="354"/>
      <c r="B66" s="507" t="s">
        <v>0</v>
      </c>
      <c r="C66" s="507"/>
      <c r="D66" s="587">
        <v>12.3</v>
      </c>
      <c r="E66" s="347">
        <v>7.7</v>
      </c>
    </row>
    <row r="67" spans="1:6" ht="18" customHeight="1">
      <c r="A67" s="474" t="s">
        <v>514</v>
      </c>
      <c r="B67" s="588">
        <f>+(((B65-4690000)*1.04)*1.03+4690000)/1000000</f>
        <v>481.4451124063678</v>
      </c>
      <c r="C67" s="588">
        <f>+(((C65-4690000)*1.04)*1.03+4690000)/1000000</f>
        <v>862.1809016065505</v>
      </c>
      <c r="D67" s="576">
        <v>7</v>
      </c>
      <c r="E67" s="339" t="s">
        <v>0</v>
      </c>
      <c r="F67" s="34" t="s">
        <v>0</v>
      </c>
    </row>
    <row r="68" spans="1:6" ht="41.25" customHeight="1">
      <c r="A68" s="699" t="s">
        <v>513</v>
      </c>
      <c r="B68" s="699"/>
      <c r="C68" s="699"/>
      <c r="D68" s="699"/>
      <c r="E68" s="699"/>
      <c r="F68" s="34" t="s">
        <v>0</v>
      </c>
    </row>
    <row r="69" spans="1:6" ht="12.75" customHeight="1">
      <c r="A69" s="699" t="s">
        <v>515</v>
      </c>
      <c r="B69" s="699"/>
      <c r="C69" s="699"/>
      <c r="D69" s="699"/>
      <c r="E69" s="699"/>
      <c r="F69" s="34" t="s">
        <v>0</v>
      </c>
    </row>
    <row r="70" ht="11.25">
      <c r="F70" s="34" t="s">
        <v>0</v>
      </c>
    </row>
  </sheetData>
  <mergeCells count="9">
    <mergeCell ref="A69:E69"/>
    <mergeCell ref="A68:E68"/>
    <mergeCell ref="A1:E1"/>
    <mergeCell ref="A2:E2"/>
    <mergeCell ref="B60:C60"/>
    <mergeCell ref="B7:C7"/>
    <mergeCell ref="B10:C10"/>
    <mergeCell ref="B23:C23"/>
    <mergeCell ref="B63:C63"/>
  </mergeCells>
  <printOptions/>
  <pageMargins left="1.34" right="0" top="0.76" bottom="0" header="0" footer="0"/>
  <pageSetup horizontalDpi="300" verticalDpi="300" orientation="portrait" paperSize="9" r:id="rId2"/>
  <headerFooter alignWithMargins="0">
    <oddFooter>&amp;C18</oddFooter>
  </headerFooter>
  <drawing r:id="rId1"/>
</worksheet>
</file>

<file path=xl/worksheets/sheet21.xml><?xml version="1.0" encoding="utf-8"?>
<worksheet xmlns="http://schemas.openxmlformats.org/spreadsheetml/2006/main" xmlns:r="http://schemas.openxmlformats.org/officeDocument/2006/relationships">
  <dimension ref="A1:J36"/>
  <sheetViews>
    <sheetView showGridLines="0" workbookViewId="0" topLeftCell="A7">
      <selection activeCell="E16" sqref="E16"/>
    </sheetView>
  </sheetViews>
  <sheetFormatPr defaultColWidth="9.00390625" defaultRowHeight="12.75"/>
  <cols>
    <col min="1" max="1" width="14.625" style="0" customWidth="1"/>
    <col min="2" max="2" width="13.75390625" style="0" customWidth="1"/>
    <col min="3" max="3" width="12.375" style="0" customWidth="1"/>
    <col min="4" max="4" width="10.625" style="0" customWidth="1"/>
    <col min="5" max="5" width="14.875" style="0" customWidth="1"/>
    <col min="6" max="6" width="13.125" style="0" customWidth="1"/>
    <col min="7" max="7" width="10.00390625" style="0" customWidth="1"/>
    <col min="8" max="8" width="12.25390625" style="0" customWidth="1"/>
    <col min="9" max="9" width="12.125" style="0" customWidth="1"/>
  </cols>
  <sheetData>
    <row r="1" spans="1:4" s="3" customFormat="1" ht="15">
      <c r="A1" s="373" t="s">
        <v>111</v>
      </c>
      <c r="B1" s="51"/>
      <c r="C1" s="51"/>
      <c r="D1" s="51"/>
    </row>
    <row r="2" spans="1:9" ht="13.5" thickBot="1">
      <c r="A2" s="57" t="s">
        <v>479</v>
      </c>
      <c r="I2" s="57" t="s">
        <v>190</v>
      </c>
    </row>
    <row r="3" spans="1:9" ht="12.75" customHeight="1">
      <c r="A3" s="224"/>
      <c r="B3" s="711" t="s">
        <v>257</v>
      </c>
      <c r="C3" s="707" t="s">
        <v>258</v>
      </c>
      <c r="D3" s="709" t="s">
        <v>82</v>
      </c>
      <c r="E3" s="713" t="s">
        <v>83</v>
      </c>
      <c r="F3" s="707" t="s">
        <v>84</v>
      </c>
      <c r="G3" s="709" t="s">
        <v>82</v>
      </c>
      <c r="H3" s="49"/>
      <c r="I3" s="709" t="s">
        <v>82</v>
      </c>
    </row>
    <row r="4" spans="1:9" ht="72" customHeight="1">
      <c r="A4" s="225" t="s">
        <v>44</v>
      </c>
      <c r="B4" s="712"/>
      <c r="C4" s="708"/>
      <c r="D4" s="710"/>
      <c r="E4" s="714"/>
      <c r="F4" s="708"/>
      <c r="G4" s="710"/>
      <c r="H4" s="50" t="s">
        <v>424</v>
      </c>
      <c r="I4" s="710"/>
    </row>
    <row r="5" spans="1:9" ht="12.75">
      <c r="A5" s="226">
        <v>1995</v>
      </c>
      <c r="B5" s="36">
        <v>34746.8</v>
      </c>
      <c r="C5" s="37">
        <f aca="true" t="shared" si="0" ref="C5:C13">+(B5/H5)*100</f>
        <v>77.63867320604632</v>
      </c>
      <c r="D5" s="38"/>
      <c r="E5" s="39">
        <v>10007.7</v>
      </c>
      <c r="F5" s="40">
        <f aca="true" t="shared" si="1" ref="F5:F13">+(E5/H5)*100</f>
        <v>22.36132679395368</v>
      </c>
      <c r="G5" s="38"/>
      <c r="H5" s="41">
        <f aca="true" t="shared" si="2" ref="H5:H13">+E5+B5</f>
        <v>44754.5</v>
      </c>
      <c r="I5" s="38"/>
    </row>
    <row r="6" spans="1:9" ht="12.75">
      <c r="A6" s="226">
        <v>1996</v>
      </c>
      <c r="B6" s="36">
        <v>66029.5</v>
      </c>
      <c r="C6" s="37">
        <f t="shared" si="0"/>
        <v>75.08710761770901</v>
      </c>
      <c r="D6" s="38">
        <f aca="true" t="shared" si="3" ref="D6:D13">(+B6/B5)*100-100</f>
        <v>90.03044884708805</v>
      </c>
      <c r="E6" s="39">
        <v>21907.7</v>
      </c>
      <c r="F6" s="40">
        <f t="shared" si="1"/>
        <v>24.912892382291</v>
      </c>
      <c r="G6" s="38">
        <f aca="true" t="shared" si="4" ref="G6:G13">(+E6/E5)*100-100</f>
        <v>118.90844050081438</v>
      </c>
      <c r="H6" s="41">
        <f t="shared" si="2"/>
        <v>87937.2</v>
      </c>
      <c r="I6" s="38">
        <f aca="true" t="shared" si="5" ref="I6:I13">(+H6/H5)*100-100</f>
        <v>96.48795093230848</v>
      </c>
    </row>
    <row r="7" spans="1:9" ht="12.75">
      <c r="A7" s="226">
        <v>1997</v>
      </c>
      <c r="B7" s="36">
        <v>146513.7</v>
      </c>
      <c r="C7" s="37">
        <f t="shared" si="0"/>
        <v>73.53986818270113</v>
      </c>
      <c r="D7" s="38">
        <f t="shared" si="3"/>
        <v>121.89127586911911</v>
      </c>
      <c r="E7" s="39">
        <v>52716.6</v>
      </c>
      <c r="F7" s="40">
        <f t="shared" si="1"/>
        <v>26.460131817298873</v>
      </c>
      <c r="G7" s="38">
        <f t="shared" si="4"/>
        <v>140.6304632617755</v>
      </c>
      <c r="H7" s="41">
        <f t="shared" si="2"/>
        <v>199230.30000000002</v>
      </c>
      <c r="I7" s="38">
        <f t="shared" si="5"/>
        <v>126.55974945756748</v>
      </c>
    </row>
    <row r="8" spans="1:9" ht="12.75">
      <c r="A8" s="227">
        <v>1998</v>
      </c>
      <c r="B8" s="36">
        <v>295013.3</v>
      </c>
      <c r="C8" s="37">
        <f t="shared" si="0"/>
        <v>72.63108396390274</v>
      </c>
      <c r="D8" s="38">
        <f t="shared" si="3"/>
        <v>101.35543638581237</v>
      </c>
      <c r="E8" s="39">
        <v>111167.2</v>
      </c>
      <c r="F8" s="40">
        <f t="shared" si="1"/>
        <v>27.36891603609725</v>
      </c>
      <c r="G8" s="38">
        <f t="shared" si="4"/>
        <v>110.87702924695449</v>
      </c>
      <c r="H8" s="41">
        <f t="shared" si="2"/>
        <v>406180.5</v>
      </c>
      <c r="I8" s="38">
        <f t="shared" si="5"/>
        <v>103.8748624079771</v>
      </c>
    </row>
    <row r="9" spans="1:9" ht="12.75">
      <c r="A9" s="227">
        <v>1999</v>
      </c>
      <c r="B9" s="36">
        <v>525626.2</v>
      </c>
      <c r="C9" s="37">
        <f t="shared" si="0"/>
        <v>70.20522920076746</v>
      </c>
      <c r="D9" s="38">
        <f t="shared" si="3"/>
        <v>78.17034011686928</v>
      </c>
      <c r="E9" s="39">
        <v>223073.3</v>
      </c>
      <c r="F9" s="40">
        <f t="shared" si="1"/>
        <v>29.794770799232534</v>
      </c>
      <c r="G9" s="38">
        <f t="shared" si="4"/>
        <v>100.66467447232634</v>
      </c>
      <c r="H9" s="41">
        <f t="shared" si="2"/>
        <v>748699.5</v>
      </c>
      <c r="I9" s="38">
        <f t="shared" si="5"/>
        <v>84.32679559949332</v>
      </c>
    </row>
    <row r="10" spans="1:9" ht="12.75">
      <c r="A10" s="228">
        <v>2000</v>
      </c>
      <c r="B10" s="42">
        <v>872956.2</v>
      </c>
      <c r="C10" s="37">
        <f t="shared" si="0"/>
        <v>68.18964515234003</v>
      </c>
      <c r="D10" s="43">
        <f t="shared" si="3"/>
        <v>66.07927839213494</v>
      </c>
      <c r="E10" s="44">
        <v>407232.6</v>
      </c>
      <c r="F10" s="40">
        <f t="shared" si="1"/>
        <v>31.810354847659973</v>
      </c>
      <c r="G10" s="43">
        <f t="shared" si="4"/>
        <v>82.55550978086575</v>
      </c>
      <c r="H10" s="45">
        <f t="shared" si="2"/>
        <v>1280188.7999999998</v>
      </c>
      <c r="I10" s="43">
        <f t="shared" si="5"/>
        <v>70.98833377075846</v>
      </c>
    </row>
    <row r="11" spans="1:9" ht="12.75">
      <c r="A11" s="229">
        <v>2001</v>
      </c>
      <c r="B11" s="46">
        <v>1527662.8</v>
      </c>
      <c r="C11" s="37">
        <f t="shared" si="0"/>
        <v>67.65684174051808</v>
      </c>
      <c r="D11" s="38">
        <f t="shared" si="3"/>
        <v>74.99879146284775</v>
      </c>
      <c r="E11" s="39">
        <v>730294.8</v>
      </c>
      <c r="F11" s="40">
        <f t="shared" si="1"/>
        <v>32.34315825948193</v>
      </c>
      <c r="G11" s="38">
        <f t="shared" si="4"/>
        <v>79.33112427639637</v>
      </c>
      <c r="H11" s="41">
        <f t="shared" si="2"/>
        <v>2257957.6</v>
      </c>
      <c r="I11" s="38">
        <f t="shared" si="5"/>
        <v>76.37692190401918</v>
      </c>
    </row>
    <row r="12" spans="1:9" ht="12.75">
      <c r="A12" s="227">
        <v>2002</v>
      </c>
      <c r="B12" s="47">
        <v>2532071.1</v>
      </c>
      <c r="C12" s="37">
        <f t="shared" si="0"/>
        <v>70.44586725149561</v>
      </c>
      <c r="D12" s="38">
        <f t="shared" si="3"/>
        <v>65.74803680498079</v>
      </c>
      <c r="E12" s="48">
        <f>807771+254508</f>
        <v>1062279</v>
      </c>
      <c r="F12" s="40">
        <f t="shared" si="1"/>
        <v>29.55413274850438</v>
      </c>
      <c r="G12" s="38">
        <f t="shared" si="4"/>
        <v>45.45892973632019</v>
      </c>
      <c r="H12" s="41">
        <f t="shared" si="2"/>
        <v>3594350.1</v>
      </c>
      <c r="I12" s="38">
        <f t="shared" si="5"/>
        <v>59.18589879632813</v>
      </c>
    </row>
    <row r="13" spans="1:9" ht="12.75">
      <c r="A13" s="227">
        <v>2003</v>
      </c>
      <c r="B13" s="42">
        <v>3485630.5</v>
      </c>
      <c r="C13" s="37">
        <f t="shared" si="0"/>
        <v>69.9758072046064</v>
      </c>
      <c r="D13" s="43">
        <f t="shared" si="3"/>
        <v>37.659266361043336</v>
      </c>
      <c r="E13" s="44">
        <v>1495563.2</v>
      </c>
      <c r="F13" s="40">
        <f t="shared" si="1"/>
        <v>30.0241927953936</v>
      </c>
      <c r="G13" s="43">
        <f t="shared" si="4"/>
        <v>40.78817335182188</v>
      </c>
      <c r="H13" s="45">
        <f t="shared" si="2"/>
        <v>4981193.7</v>
      </c>
      <c r="I13" s="43">
        <f t="shared" si="5"/>
        <v>38.58398768667527</v>
      </c>
    </row>
    <row r="14" spans="1:9" ht="12.75">
      <c r="A14" s="227">
        <v>2004</v>
      </c>
      <c r="B14" s="42">
        <f>+H14-E14</f>
        <v>4024229.128</v>
      </c>
      <c r="C14" s="37">
        <f>+(B14/H14)*100</f>
        <v>60.64521581851837</v>
      </c>
      <c r="D14" s="43">
        <f>(+B14/B13)*100-100</f>
        <v>15.451971400869937</v>
      </c>
      <c r="E14" s="44">
        <v>2611461.872</v>
      </c>
      <c r="F14" s="40">
        <f>+(E14/H14)*100</f>
        <v>39.35478418148163</v>
      </c>
      <c r="G14" s="43">
        <f>(+E14/E13)*100-100</f>
        <v>74.61394289455637</v>
      </c>
      <c r="H14" s="45">
        <v>6635691</v>
      </c>
      <c r="I14" s="43">
        <f>(+H14/H13)*100-100</f>
        <v>33.21487578369016</v>
      </c>
    </row>
    <row r="15" spans="1:9" s="554" customFormat="1" ht="13.5" thickBot="1">
      <c r="A15" s="227" t="s">
        <v>505</v>
      </c>
      <c r="B15" s="42">
        <f>+H15-E15</f>
        <v>1575206</v>
      </c>
      <c r="C15" s="37">
        <f>+(B15/H15)*100</f>
        <v>20.518229202283933</v>
      </c>
      <c r="D15" s="549">
        <f>(+B15/B14)*100-100</f>
        <v>-60.85695048922672</v>
      </c>
      <c r="E15" s="44">
        <f>3430913+2670986</f>
        <v>6101899</v>
      </c>
      <c r="F15" s="40">
        <f>+(E15/H15)*100</f>
        <v>79.48177079771607</v>
      </c>
      <c r="G15" s="43">
        <f>(+E15/E14)*100-100</f>
        <v>133.65836068388904</v>
      </c>
      <c r="H15" s="45">
        <v>7677105</v>
      </c>
      <c r="I15" s="43">
        <f>(+H15/H14)*100-100</f>
        <v>15.69413042289041</v>
      </c>
    </row>
    <row r="16" spans="1:9" ht="13.5" thickBot="1">
      <c r="A16" s="546" t="s">
        <v>506</v>
      </c>
      <c r="B16" s="547">
        <f>+H16-E16</f>
        <v>573580</v>
      </c>
      <c r="C16" s="548">
        <f>+(B16/H16)*100</f>
        <v>5.038603407852098</v>
      </c>
      <c r="D16" s="549">
        <f>(+B16/B15)*100-100</f>
        <v>-63.58698481341488</v>
      </c>
      <c r="E16" s="550">
        <f>4622008+1748645+4439477</f>
        <v>10810130</v>
      </c>
      <c r="F16" s="551">
        <f>+(E16/H16)*100</f>
        <v>94.9613965921479</v>
      </c>
      <c r="G16" s="552">
        <f>(+E16/E15)*100-100</f>
        <v>77.1600939314138</v>
      </c>
      <c r="H16" s="553">
        <v>11383710</v>
      </c>
      <c r="I16" s="552">
        <f>(+H16/H15)*100-100</f>
        <v>48.28128571903082</v>
      </c>
    </row>
    <row r="17" spans="1:9" ht="12.75">
      <c r="A17" s="706" t="s">
        <v>504</v>
      </c>
      <c r="B17" s="625"/>
      <c r="C17" s="625"/>
      <c r="D17" s="625"/>
      <c r="E17" s="625"/>
      <c r="F17" s="625"/>
      <c r="G17" s="625"/>
      <c r="H17" s="625"/>
      <c r="I17" s="625"/>
    </row>
    <row r="18" spans="1:9" ht="26.25" customHeight="1">
      <c r="A18" s="704" t="s">
        <v>422</v>
      </c>
      <c r="B18" s="705"/>
      <c r="C18" s="705"/>
      <c r="D18" s="705"/>
      <c r="E18" s="705"/>
      <c r="F18" s="705"/>
      <c r="G18" s="705"/>
      <c r="H18" s="705"/>
      <c r="I18" s="705"/>
    </row>
    <row r="19" spans="1:10" ht="12.75">
      <c r="A19" s="704" t="s">
        <v>423</v>
      </c>
      <c r="B19" s="705"/>
      <c r="C19" s="705"/>
      <c r="D19" s="705"/>
      <c r="E19" s="705"/>
      <c r="F19" s="705"/>
      <c r="G19" s="705"/>
      <c r="H19" s="705"/>
      <c r="I19" s="705"/>
      <c r="J19" t="s">
        <v>0</v>
      </c>
    </row>
    <row r="33" ht="12.75">
      <c r="B33" t="s">
        <v>0</v>
      </c>
    </row>
    <row r="36" ht="12.75">
      <c r="E36" t="s">
        <v>0</v>
      </c>
    </row>
  </sheetData>
  <mergeCells count="10">
    <mergeCell ref="A19:I19"/>
    <mergeCell ref="A18:I18"/>
    <mergeCell ref="A17:I17"/>
    <mergeCell ref="F3:F4"/>
    <mergeCell ref="G3:G4"/>
    <mergeCell ref="I3:I4"/>
    <mergeCell ref="B3:B4"/>
    <mergeCell ref="C3:C4"/>
    <mergeCell ref="D3:D4"/>
    <mergeCell ref="E3:E4"/>
  </mergeCells>
  <printOptions horizontalCentered="1" verticalCentered="1"/>
  <pageMargins left="0.64" right="0.48" top="0.61" bottom="0.76" header="0.59" footer="0.5118110236220472"/>
  <pageSetup horizontalDpi="300" verticalDpi="300" orientation="landscape" paperSize="9" r:id="rId2"/>
  <headerFooter alignWithMargins="0">
    <oddFooter>&amp;C19</oddFooter>
  </headerFooter>
  <drawing r:id="rId1"/>
</worksheet>
</file>

<file path=xl/worksheets/sheet22.xml><?xml version="1.0" encoding="utf-8"?>
<worksheet xmlns="http://schemas.openxmlformats.org/spreadsheetml/2006/main" xmlns:r="http://schemas.openxmlformats.org/officeDocument/2006/relationships">
  <dimension ref="A1:I34"/>
  <sheetViews>
    <sheetView showGridLines="0" workbookViewId="0" topLeftCell="A22">
      <selection activeCell="E21" sqref="E21"/>
    </sheetView>
  </sheetViews>
  <sheetFormatPr defaultColWidth="9.00390625" defaultRowHeight="12.75"/>
  <cols>
    <col min="1" max="1" width="17.00390625" style="0" customWidth="1"/>
    <col min="2" max="2" width="12.75390625" style="0" customWidth="1"/>
    <col min="3" max="3" width="11.00390625" style="0" customWidth="1"/>
    <col min="4" max="4" width="11.75390625" style="0" customWidth="1"/>
    <col min="5" max="5" width="13.25390625" style="0" customWidth="1"/>
    <col min="6" max="6" width="11.625" style="0" customWidth="1"/>
    <col min="7" max="7" width="11.375" style="0" customWidth="1"/>
    <col min="13" max="13" width="10.00390625" style="0" customWidth="1"/>
    <col min="14" max="15" width="10.375" style="0" customWidth="1"/>
    <col min="16" max="16" width="10.125" style="0" customWidth="1"/>
  </cols>
  <sheetData>
    <row r="1" s="3" customFormat="1" ht="13.5" customHeight="1">
      <c r="A1" s="372" t="s">
        <v>110</v>
      </c>
    </row>
    <row r="2" spans="1:6" s="3" customFormat="1" ht="12.75" customHeight="1" thickBot="1">
      <c r="A2" s="57" t="s">
        <v>480</v>
      </c>
      <c r="F2" s="7"/>
    </row>
    <row r="3" spans="1:7" ht="10.5" customHeight="1">
      <c r="A3" s="153"/>
      <c r="B3" s="153" t="s">
        <v>0</v>
      </c>
      <c r="C3" s="715" t="s">
        <v>85</v>
      </c>
      <c r="D3" s="716"/>
      <c r="E3" s="717"/>
      <c r="F3" s="153"/>
      <c r="G3" s="153"/>
    </row>
    <row r="4" spans="1:7" ht="42" customHeight="1" thickBot="1">
      <c r="A4" s="527" t="s">
        <v>44</v>
      </c>
      <c r="B4" s="527" t="s">
        <v>227</v>
      </c>
      <c r="C4" s="528" t="s">
        <v>225</v>
      </c>
      <c r="D4" s="529" t="s">
        <v>226</v>
      </c>
      <c r="E4" s="530" t="s">
        <v>272</v>
      </c>
      <c r="F4" s="527" t="s">
        <v>158</v>
      </c>
      <c r="G4" s="527" t="s">
        <v>159</v>
      </c>
    </row>
    <row r="5" spans="1:7" ht="10.5" customHeight="1">
      <c r="A5" s="18">
        <v>1995</v>
      </c>
      <c r="B5" s="19">
        <v>44754.5</v>
      </c>
      <c r="C5" s="20">
        <v>17141.8</v>
      </c>
      <c r="D5" s="21" t="s">
        <v>86</v>
      </c>
      <c r="E5" s="22">
        <f aca="true" t="shared" si="0" ref="E5:E13">+C5/B5*100</f>
        <v>38.301846741668435</v>
      </c>
      <c r="F5" s="20"/>
      <c r="G5" s="19"/>
    </row>
    <row r="6" spans="1:7" ht="10.5" customHeight="1">
      <c r="A6" s="17">
        <v>1996</v>
      </c>
      <c r="B6" s="23">
        <v>87937.2</v>
      </c>
      <c r="C6" s="24">
        <f aca="true" t="shared" si="1" ref="C6:C13">+F6+G6</f>
        <v>32033.6</v>
      </c>
      <c r="D6" s="21">
        <f aca="true" t="shared" si="2" ref="D6:D13">+(C6/C5)*100-100</f>
        <v>86.87419057508546</v>
      </c>
      <c r="E6" s="22">
        <f t="shared" si="0"/>
        <v>36.42781439481812</v>
      </c>
      <c r="F6" s="20">
        <v>27439.3</v>
      </c>
      <c r="G6" s="23">
        <v>4594.3</v>
      </c>
    </row>
    <row r="7" spans="1:7" ht="10.5" customHeight="1">
      <c r="A7" s="17">
        <v>1997</v>
      </c>
      <c r="B7" s="23">
        <v>199230.4</v>
      </c>
      <c r="C7" s="24">
        <f t="shared" si="1"/>
        <v>71224.4</v>
      </c>
      <c r="D7" s="21">
        <f t="shared" si="2"/>
        <v>122.34279007042605</v>
      </c>
      <c r="E7" s="22">
        <f t="shared" si="0"/>
        <v>35.74976509608975</v>
      </c>
      <c r="F7" s="24">
        <v>60064.7</v>
      </c>
      <c r="G7" s="23">
        <v>11159.7</v>
      </c>
    </row>
    <row r="8" spans="1:7" ht="10.5" customHeight="1">
      <c r="A8" s="25">
        <v>1998</v>
      </c>
      <c r="B8" s="19">
        <v>406180.4</v>
      </c>
      <c r="C8" s="24">
        <f t="shared" si="1"/>
        <v>165584.5</v>
      </c>
      <c r="D8" s="21">
        <f t="shared" si="2"/>
        <v>132.48282891817973</v>
      </c>
      <c r="E8" s="22">
        <f t="shared" si="0"/>
        <v>40.76624573711582</v>
      </c>
      <c r="F8" s="24">
        <v>138100</v>
      </c>
      <c r="G8" s="19">
        <v>27484.5</v>
      </c>
    </row>
    <row r="9" spans="1:7" ht="10.5" customHeight="1">
      <c r="A9" s="25">
        <v>1999</v>
      </c>
      <c r="B9" s="19" t="s">
        <v>87</v>
      </c>
      <c r="C9" s="24">
        <f t="shared" si="1"/>
        <v>304016.7</v>
      </c>
      <c r="D9" s="21">
        <f t="shared" si="2"/>
        <v>83.60214875184576</v>
      </c>
      <c r="E9" s="22">
        <f t="shared" si="0"/>
        <v>40.6059707532862</v>
      </c>
      <c r="F9" s="20">
        <v>247198.1</v>
      </c>
      <c r="G9" s="19">
        <v>56818.6</v>
      </c>
    </row>
    <row r="10" spans="1:7" ht="10.5" customHeight="1">
      <c r="A10" s="25">
        <v>2000</v>
      </c>
      <c r="B10" s="19">
        <v>1280188.8</v>
      </c>
      <c r="C10" s="24">
        <f t="shared" si="1"/>
        <v>572409.2999999999</v>
      </c>
      <c r="D10" s="21">
        <f t="shared" si="2"/>
        <v>88.2821897612861</v>
      </c>
      <c r="E10" s="22">
        <f t="shared" si="0"/>
        <v>44.71288141249165</v>
      </c>
      <c r="F10" s="20">
        <v>445379.1</v>
      </c>
      <c r="G10" s="19">
        <v>127030.2</v>
      </c>
    </row>
    <row r="11" spans="1:7" ht="10.5" customHeight="1">
      <c r="A11" s="25">
        <v>2001</v>
      </c>
      <c r="B11" s="19">
        <v>2257957.6</v>
      </c>
      <c r="C11" s="24">
        <f t="shared" si="1"/>
        <v>992615.6000000001</v>
      </c>
      <c r="D11" s="21">
        <f t="shared" si="2"/>
        <v>73.4101105624944</v>
      </c>
      <c r="E11" s="22">
        <f t="shared" si="0"/>
        <v>43.96077233691191</v>
      </c>
      <c r="F11" s="20">
        <v>770999.4</v>
      </c>
      <c r="G11" s="19">
        <v>221616.2</v>
      </c>
    </row>
    <row r="12" spans="1:7" ht="10.5" customHeight="1">
      <c r="A12" s="25">
        <v>2002</v>
      </c>
      <c r="B12" s="19">
        <f>+'(19)'!$H$12</f>
        <v>3594350.1</v>
      </c>
      <c r="C12" s="20">
        <v>1878558.2</v>
      </c>
      <c r="D12" s="21">
        <f t="shared" si="2"/>
        <v>89.25334238148179</v>
      </c>
      <c r="E12" s="22">
        <f t="shared" si="0"/>
        <v>52.26419652331585</v>
      </c>
      <c r="F12" s="20">
        <v>1553767.4</v>
      </c>
      <c r="G12" s="19">
        <v>324790.8</v>
      </c>
    </row>
    <row r="13" spans="1:7" ht="10.5" customHeight="1">
      <c r="A13" s="25">
        <v>2003</v>
      </c>
      <c r="B13" s="19">
        <f>+'(19)'!H13</f>
        <v>4981193.7</v>
      </c>
      <c r="C13" s="24">
        <f t="shared" si="1"/>
        <v>2101495.7</v>
      </c>
      <c r="D13" s="21">
        <f t="shared" si="2"/>
        <v>11.867479005973848</v>
      </c>
      <c r="E13" s="22">
        <f t="shared" si="0"/>
        <v>42.18859627964277</v>
      </c>
      <c r="F13" s="20">
        <v>1662127.6</v>
      </c>
      <c r="G13" s="19">
        <v>439368.1</v>
      </c>
    </row>
    <row r="14" spans="1:7" ht="10.5" customHeight="1">
      <c r="A14" s="25">
        <v>2004</v>
      </c>
      <c r="B14" s="19">
        <f>+'(19)'!H14</f>
        <v>6635691</v>
      </c>
      <c r="C14" s="24">
        <f>+F14+G14</f>
        <v>2687750.1</v>
      </c>
      <c r="D14" s="21">
        <f>+(C14/C13)*100-100</f>
        <v>27.897006879433533</v>
      </c>
      <c r="E14" s="22">
        <f>+C14/B14*100</f>
        <v>40.504449348229144</v>
      </c>
      <c r="F14" s="20">
        <v>2159597.5</v>
      </c>
      <c r="G14" s="19">
        <v>528152.6</v>
      </c>
    </row>
    <row r="15" spans="1:7" ht="10.5" customHeight="1">
      <c r="A15" s="25" t="s">
        <v>446</v>
      </c>
      <c r="B15" s="19">
        <f>+'(19)'!H15</f>
        <v>7677105</v>
      </c>
      <c r="C15" s="24">
        <f>+F15+G15</f>
        <v>3552939</v>
      </c>
      <c r="D15" s="21">
        <f>+(C15/C14)*100-100</f>
        <v>32.19007972504585</v>
      </c>
      <c r="E15" s="22">
        <f>+C15/B15*100</f>
        <v>46.279671829420074</v>
      </c>
      <c r="F15" s="20">
        <v>881953</v>
      </c>
      <c r="G15" s="19">
        <v>2670986</v>
      </c>
    </row>
    <row r="16" spans="1:7" ht="10.5" customHeight="1" thickBot="1">
      <c r="A16" s="26" t="s">
        <v>506</v>
      </c>
      <c r="B16" s="27">
        <f>+'(19)'!H16</f>
        <v>11383710</v>
      </c>
      <c r="C16" s="24">
        <f>+F16+G16</f>
        <v>4439477</v>
      </c>
      <c r="D16" s="29">
        <f>+(C16/C15)*100-100</f>
        <v>24.952243762136078</v>
      </c>
      <c r="E16" s="30">
        <f>+C16/B16*100</f>
        <v>38.99850751644235</v>
      </c>
      <c r="F16" s="28">
        <v>0</v>
      </c>
      <c r="G16" s="28">
        <v>4439477</v>
      </c>
    </row>
    <row r="17" spans="1:7" ht="9.75" customHeight="1">
      <c r="A17" s="52" t="s">
        <v>402</v>
      </c>
      <c r="B17" s="34"/>
      <c r="G17" s="321" t="s">
        <v>0</v>
      </c>
    </row>
    <row r="18" spans="1:7" ht="1.5" customHeight="1">
      <c r="A18" s="52"/>
      <c r="B18" s="34"/>
      <c r="F18" t="s">
        <v>0</v>
      </c>
      <c r="G18" s="321" t="s">
        <v>0</v>
      </c>
    </row>
    <row r="19" spans="1:7" ht="36.75" customHeight="1">
      <c r="A19" s="706" t="s">
        <v>425</v>
      </c>
      <c r="B19" s="625"/>
      <c r="C19" s="625"/>
      <c r="D19" s="625"/>
      <c r="E19" s="625"/>
      <c r="F19" s="625"/>
      <c r="G19" s="625"/>
    </row>
    <row r="20" spans="1:9" ht="12" customHeight="1">
      <c r="A20" s="706" t="s">
        <v>504</v>
      </c>
      <c r="B20" s="625"/>
      <c r="C20" s="625"/>
      <c r="D20" s="625"/>
      <c r="E20" s="625"/>
      <c r="F20" s="625"/>
      <c r="G20" s="625"/>
      <c r="H20" s="625"/>
      <c r="I20" s="625"/>
    </row>
    <row r="21" spans="1:6" ht="16.5" customHeight="1">
      <c r="A21" s="372" t="s">
        <v>109</v>
      </c>
      <c r="B21" s="3"/>
      <c r="C21" s="3"/>
      <c r="D21" s="3"/>
      <c r="E21" s="3"/>
      <c r="F21" s="3"/>
    </row>
    <row r="22" ht="12" customHeight="1">
      <c r="A22" s="57" t="s">
        <v>481</v>
      </c>
    </row>
    <row r="23" spans="1:6" ht="21.75" customHeight="1">
      <c r="A23" s="280"/>
      <c r="B23" s="315">
        <v>2000</v>
      </c>
      <c r="C23" s="315">
        <v>2001</v>
      </c>
      <c r="D23" s="315">
        <v>2002</v>
      </c>
      <c r="E23" s="320">
        <v>2003</v>
      </c>
      <c r="F23" s="523">
        <v>2004</v>
      </c>
    </row>
    <row r="24" spans="1:6" ht="12.75" customHeight="1">
      <c r="A24" s="531" t="s">
        <v>75</v>
      </c>
      <c r="B24" s="316">
        <v>51114155</v>
      </c>
      <c r="C24" s="316">
        <v>58874712</v>
      </c>
      <c r="D24" s="316">
        <v>65983747</v>
      </c>
      <c r="E24" s="317">
        <v>68493705</v>
      </c>
      <c r="F24" s="317">
        <f>57819958+2680785</f>
        <v>60500743</v>
      </c>
    </row>
    <row r="25" spans="1:6" ht="16.5" customHeight="1">
      <c r="A25" s="532" t="s">
        <v>76</v>
      </c>
      <c r="B25" s="316">
        <v>1222366</v>
      </c>
      <c r="C25" s="316">
        <v>1373097</v>
      </c>
      <c r="D25" s="316">
        <v>1444189</v>
      </c>
      <c r="E25" s="317">
        <v>1499940</v>
      </c>
      <c r="F25" s="317">
        <v>1367977</v>
      </c>
    </row>
    <row r="26" spans="1:6" ht="16.5" customHeight="1">
      <c r="A26" s="532" t="s">
        <v>77</v>
      </c>
      <c r="B26" s="316">
        <v>6863798</v>
      </c>
      <c r="C26" s="316">
        <v>7918170</v>
      </c>
      <c r="D26" s="316">
        <v>8103826</v>
      </c>
      <c r="E26" s="317">
        <v>8133344</v>
      </c>
      <c r="F26" s="317">
        <v>7790522</v>
      </c>
    </row>
    <row r="27" spans="1:6" ht="16.5" customHeight="1">
      <c r="A27" s="532" t="s">
        <v>78</v>
      </c>
      <c r="B27" s="316">
        <v>409174</v>
      </c>
      <c r="C27" s="316">
        <v>521433</v>
      </c>
      <c r="D27" s="316">
        <v>567082</v>
      </c>
      <c r="E27" s="317">
        <v>599036</v>
      </c>
      <c r="F27" s="317">
        <v>518375</v>
      </c>
    </row>
    <row r="28" spans="1:6" ht="16.5" customHeight="1">
      <c r="A28" s="532" t="s">
        <v>79</v>
      </c>
      <c r="B28" s="316">
        <v>213727</v>
      </c>
      <c r="C28" s="316">
        <v>232176</v>
      </c>
      <c r="D28" s="316">
        <v>209622</v>
      </c>
      <c r="E28" s="317">
        <v>211813</v>
      </c>
      <c r="F28" s="317">
        <v>168835</v>
      </c>
    </row>
    <row r="29" spans="1:6" ht="16.5" customHeight="1">
      <c r="A29" s="532" t="s">
        <v>80</v>
      </c>
      <c r="B29" s="316">
        <v>34479848</v>
      </c>
      <c r="C29" s="316">
        <v>40784832</v>
      </c>
      <c r="D29" s="316">
        <v>45752762</v>
      </c>
      <c r="E29" s="317">
        <v>47258455</v>
      </c>
      <c r="F29" s="317">
        <v>51050571</v>
      </c>
    </row>
    <row r="30" spans="1:6" ht="16.5" customHeight="1">
      <c r="A30" s="532" t="s">
        <v>325</v>
      </c>
      <c r="B30" s="316">
        <v>150524728</v>
      </c>
      <c r="C30" s="316">
        <v>170834104</v>
      </c>
      <c r="D30" s="316">
        <v>192667574</v>
      </c>
      <c r="E30" s="317">
        <v>189403285</v>
      </c>
      <c r="F30" s="317">
        <v>200419349</v>
      </c>
    </row>
    <row r="31" spans="1:6" ht="16.5" customHeight="1">
      <c r="A31" s="532" t="s">
        <v>81</v>
      </c>
      <c r="B31" s="316">
        <v>4820519</v>
      </c>
      <c r="C31" s="316">
        <v>5463568</v>
      </c>
      <c r="D31" s="316">
        <v>6046453</v>
      </c>
      <c r="E31" s="317">
        <v>6200403</v>
      </c>
      <c r="F31" s="317">
        <v>5797877</v>
      </c>
    </row>
    <row r="32" spans="1:6" ht="16.5" customHeight="1">
      <c r="A32" s="533" t="s">
        <v>326</v>
      </c>
      <c r="B32" s="318">
        <v>31261137</v>
      </c>
      <c r="C32" s="318">
        <v>42896256</v>
      </c>
      <c r="D32" s="318">
        <v>51498202</v>
      </c>
      <c r="E32" s="319">
        <v>48650310</v>
      </c>
      <c r="F32" s="319">
        <v>47170815</v>
      </c>
    </row>
    <row r="33" spans="1:6" ht="12.75">
      <c r="A33" s="314" t="s">
        <v>327</v>
      </c>
      <c r="B33" s="121"/>
      <c r="C33" s="122"/>
      <c r="D33" s="122"/>
      <c r="E33" s="122"/>
      <c r="F33" s="122"/>
    </row>
    <row r="34" ht="12.75">
      <c r="A34" s="314" t="s">
        <v>328</v>
      </c>
    </row>
  </sheetData>
  <mergeCells count="3">
    <mergeCell ref="C3:E3"/>
    <mergeCell ref="A20:I20"/>
    <mergeCell ref="A19:G19"/>
  </mergeCells>
  <printOptions horizontalCentered="1" verticalCentered="1"/>
  <pageMargins left="0.17" right="0.5" top="0.59" bottom="0.68" header="0.5118110236220472" footer="0.42"/>
  <pageSetup horizontalDpi="300" verticalDpi="300" orientation="landscape" paperSize="9" r:id="rId2"/>
  <headerFooter alignWithMargins="0">
    <oddFooter>&amp;C20</oddFooter>
  </headerFooter>
  <drawing r:id="rId1"/>
</worksheet>
</file>

<file path=xl/worksheets/sheet23.xml><?xml version="1.0" encoding="utf-8"?>
<worksheet xmlns="http://schemas.openxmlformats.org/spreadsheetml/2006/main" xmlns:r="http://schemas.openxmlformats.org/officeDocument/2006/relationships">
  <dimension ref="A1:I42"/>
  <sheetViews>
    <sheetView showGridLines="0" workbookViewId="0" topLeftCell="A1">
      <selection activeCell="A2" sqref="A2:I2"/>
    </sheetView>
  </sheetViews>
  <sheetFormatPr defaultColWidth="9.00390625" defaultRowHeight="12.75"/>
  <cols>
    <col min="1" max="1" width="13.75390625" style="0" customWidth="1"/>
    <col min="2" max="2" width="11.25390625" style="0" customWidth="1"/>
    <col min="3" max="3" width="8.125" style="0" customWidth="1"/>
    <col min="4" max="4" width="10.25390625" style="0" customWidth="1"/>
    <col min="5" max="5" width="9.00390625" style="0" customWidth="1"/>
    <col min="6" max="7" width="10.00390625" style="0" customWidth="1"/>
    <col min="8" max="8" width="8.75390625" style="0" customWidth="1"/>
    <col min="9" max="9" width="9.25390625" style="0" customWidth="1"/>
  </cols>
  <sheetData>
    <row r="1" spans="1:9" s="3" customFormat="1" ht="15">
      <c r="A1" s="719" t="s">
        <v>339</v>
      </c>
      <c r="B1" s="671"/>
      <c r="C1" s="671"/>
      <c r="D1" s="671"/>
      <c r="E1" s="671"/>
      <c r="F1" s="671"/>
      <c r="G1" s="671"/>
      <c r="H1" s="671"/>
      <c r="I1" s="671"/>
    </row>
    <row r="2" spans="1:9" ht="18" customHeight="1">
      <c r="A2" s="719" t="s">
        <v>382</v>
      </c>
      <c r="B2" s="671"/>
      <c r="C2" s="671"/>
      <c r="D2" s="671"/>
      <c r="E2" s="671"/>
      <c r="F2" s="671"/>
      <c r="G2" s="671"/>
      <c r="H2" s="671"/>
      <c r="I2" s="671"/>
    </row>
    <row r="3" spans="1:9" ht="24.75" customHeight="1" thickBot="1">
      <c r="A3" s="4" t="s">
        <v>482</v>
      </c>
      <c r="I3" s="57" t="s">
        <v>191</v>
      </c>
    </row>
    <row r="4" spans="1:9" ht="23.25" customHeight="1">
      <c r="A4" s="389" t="s">
        <v>88</v>
      </c>
      <c r="B4" s="722" t="s">
        <v>89</v>
      </c>
      <c r="C4" s="723"/>
      <c r="D4" s="720" t="s">
        <v>90</v>
      </c>
      <c r="E4" s="721"/>
      <c r="F4" s="722" t="s">
        <v>91</v>
      </c>
      <c r="G4" s="723"/>
      <c r="H4" s="722" t="s">
        <v>8</v>
      </c>
      <c r="I4" s="723"/>
    </row>
    <row r="5" spans="1:9" ht="39.75" customHeight="1">
      <c r="A5" s="390"/>
      <c r="B5" s="542" t="s">
        <v>338</v>
      </c>
      <c r="C5" s="377" t="s">
        <v>92</v>
      </c>
      <c r="D5" s="391" t="s">
        <v>338</v>
      </c>
      <c r="E5" s="377" t="s">
        <v>92</v>
      </c>
      <c r="F5" s="391" t="s">
        <v>338</v>
      </c>
      <c r="G5" s="377" t="s">
        <v>92</v>
      </c>
      <c r="H5" s="391" t="s">
        <v>338</v>
      </c>
      <c r="I5" s="377" t="s">
        <v>92</v>
      </c>
    </row>
    <row r="6" spans="1:9" ht="18" customHeight="1">
      <c r="A6" s="383" t="s">
        <v>93</v>
      </c>
      <c r="B6" s="392">
        <v>50190</v>
      </c>
      <c r="C6" s="386">
        <v>71556</v>
      </c>
      <c r="D6" s="392">
        <v>29012</v>
      </c>
      <c r="E6" s="386" t="s">
        <v>345</v>
      </c>
      <c r="F6" s="392">
        <v>799</v>
      </c>
      <c r="G6" s="386">
        <v>844</v>
      </c>
      <c r="H6" s="392">
        <f>+F6+D6+B6</f>
        <v>80001</v>
      </c>
      <c r="I6" s="386">
        <v>158084</v>
      </c>
    </row>
    <row r="7" spans="1:9" ht="18" customHeight="1">
      <c r="A7" s="384" t="s">
        <v>94</v>
      </c>
      <c r="B7" s="393">
        <v>1605</v>
      </c>
      <c r="C7" s="387">
        <v>3500</v>
      </c>
      <c r="D7" s="393">
        <v>12490</v>
      </c>
      <c r="E7" s="387" t="s">
        <v>408</v>
      </c>
      <c r="F7" s="393">
        <v>0</v>
      </c>
      <c r="G7" s="387">
        <v>0</v>
      </c>
      <c r="H7" s="393">
        <f>+F7+D7+B7</f>
        <v>14095</v>
      </c>
      <c r="I7" s="387">
        <v>19045</v>
      </c>
    </row>
    <row r="8" spans="1:9" ht="16.5" customHeight="1" thickBot="1">
      <c r="A8" s="385" t="s">
        <v>8</v>
      </c>
      <c r="B8" s="394">
        <f>+B7+B6</f>
        <v>51795</v>
      </c>
      <c r="C8" s="388">
        <f>+C7+C6</f>
        <v>75056</v>
      </c>
      <c r="D8" s="394">
        <f>+D7+D6</f>
        <v>41502</v>
      </c>
      <c r="E8" s="388">
        <v>101229</v>
      </c>
      <c r="F8" s="394">
        <f>+F7+F6</f>
        <v>799</v>
      </c>
      <c r="G8" s="388">
        <f>+G7+G6</f>
        <v>844</v>
      </c>
      <c r="H8" s="394">
        <f>+H7+H6</f>
        <v>94096</v>
      </c>
      <c r="I8" s="388">
        <f>+I7+I6</f>
        <v>177129</v>
      </c>
    </row>
    <row r="9" ht="7.5" customHeight="1"/>
    <row r="10" spans="1:9" ht="16.5" customHeight="1">
      <c r="A10" s="405" t="s">
        <v>349</v>
      </c>
      <c r="B10" s="31"/>
      <c r="C10" s="31"/>
      <c r="D10" s="31"/>
      <c r="E10" s="31"/>
      <c r="F10" s="31"/>
      <c r="G10" s="31"/>
      <c r="H10" s="31"/>
      <c r="I10" s="31"/>
    </row>
    <row r="11" spans="1:9" ht="16.5" customHeight="1">
      <c r="A11" s="405" t="s">
        <v>346</v>
      </c>
      <c r="B11" s="31"/>
      <c r="C11" s="31"/>
      <c r="D11" s="31"/>
      <c r="E11" s="31"/>
      <c r="F11" s="31" t="s">
        <v>0</v>
      </c>
      <c r="G11" s="31"/>
      <c r="H11" s="31"/>
      <c r="I11" s="31" t="s">
        <v>0</v>
      </c>
    </row>
    <row r="12" spans="1:9" ht="16.5" customHeight="1">
      <c r="A12" s="405" t="s">
        <v>350</v>
      </c>
      <c r="B12" s="31"/>
      <c r="C12" s="31"/>
      <c r="D12" s="31"/>
      <c r="E12" s="31"/>
      <c r="F12" s="31"/>
      <c r="G12" s="31"/>
      <c r="H12" s="31"/>
      <c r="I12" s="31"/>
    </row>
    <row r="13" spans="1:9" ht="15" customHeight="1">
      <c r="A13" s="405" t="s">
        <v>351</v>
      </c>
      <c r="B13" s="31"/>
      <c r="C13" s="31"/>
      <c r="D13" s="31"/>
      <c r="E13" s="31"/>
      <c r="F13" s="31"/>
      <c r="G13" s="31"/>
      <c r="H13" s="31"/>
      <c r="I13" s="31"/>
    </row>
    <row r="14" ht="16.5" customHeight="1">
      <c r="A14" s="444" t="s">
        <v>352</v>
      </c>
    </row>
    <row r="15" spans="1:9" ht="12.75">
      <c r="A15" s="405" t="s">
        <v>409</v>
      </c>
      <c r="F15" t="s">
        <v>0</v>
      </c>
      <c r="I15" t="s">
        <v>0</v>
      </c>
    </row>
    <row r="16" ht="12.75">
      <c r="A16" s="444" t="s">
        <v>0</v>
      </c>
    </row>
    <row r="17" spans="1:9" ht="19.5" customHeight="1">
      <c r="A17" s="719" t="s">
        <v>412</v>
      </c>
      <c r="B17" s="671"/>
      <c r="C17" s="671"/>
      <c r="D17" s="671"/>
      <c r="E17" s="671"/>
      <c r="F17" s="671"/>
      <c r="G17" s="671"/>
      <c r="H17" s="671"/>
      <c r="I17" s="671"/>
    </row>
    <row r="18" spans="1:9" ht="19.5" customHeight="1">
      <c r="A18" s="719" t="s">
        <v>413</v>
      </c>
      <c r="B18" s="671"/>
      <c r="C18" s="671"/>
      <c r="D18" s="671"/>
      <c r="E18" s="671"/>
      <c r="F18" s="671"/>
      <c r="G18" s="671"/>
      <c r="H18" s="671"/>
      <c r="I18" s="671"/>
    </row>
    <row r="19" spans="1:9" ht="19.5" customHeight="1">
      <c r="A19" s="727" t="s">
        <v>436</v>
      </c>
      <c r="B19" s="728"/>
      <c r="C19" s="728"/>
      <c r="D19" s="728"/>
      <c r="E19" s="728"/>
      <c r="F19" s="728"/>
      <c r="G19" s="728"/>
      <c r="H19" s="728"/>
      <c r="I19" s="728"/>
    </row>
    <row r="20" spans="1:7" ht="25.5" customHeight="1" thickBot="1">
      <c r="A20" s="4" t="s">
        <v>483</v>
      </c>
      <c r="G20" s="57" t="s">
        <v>191</v>
      </c>
    </row>
    <row r="21" spans="1:9" ht="12.75" customHeight="1">
      <c r="A21" s="389" t="s">
        <v>88</v>
      </c>
      <c r="B21" s="724" t="s">
        <v>89</v>
      </c>
      <c r="C21" s="725"/>
      <c r="D21" s="724" t="s">
        <v>415</v>
      </c>
      <c r="E21" s="725"/>
      <c r="F21" s="724" t="s">
        <v>8</v>
      </c>
      <c r="G21" s="725"/>
      <c r="H21" s="726"/>
      <c r="I21" s="726"/>
    </row>
    <row r="22" spans="1:9" ht="12.75">
      <c r="A22" s="390"/>
      <c r="B22" s="391" t="s">
        <v>434</v>
      </c>
      <c r="C22" s="377" t="s">
        <v>92</v>
      </c>
      <c r="D22" s="391" t="s">
        <v>434</v>
      </c>
      <c r="E22" s="377" t="s">
        <v>92</v>
      </c>
      <c r="F22" s="391" t="s">
        <v>434</v>
      </c>
      <c r="G22" s="377" t="s">
        <v>92</v>
      </c>
      <c r="H22" s="535"/>
      <c r="I22" s="534"/>
    </row>
    <row r="23" spans="1:9" ht="30.75" customHeight="1">
      <c r="A23" s="384" t="s">
        <v>94</v>
      </c>
      <c r="B23" s="538">
        <v>5877</v>
      </c>
      <c r="C23" s="539">
        <v>17220</v>
      </c>
      <c r="D23" s="538">
        <v>0</v>
      </c>
      <c r="E23" s="539">
        <v>10000</v>
      </c>
      <c r="F23" s="538">
        <f>+B23+D23</f>
        <v>5877</v>
      </c>
      <c r="G23" s="539">
        <f>+C23+E23</f>
        <v>27220</v>
      </c>
      <c r="H23" s="536"/>
      <c r="I23" s="536"/>
    </row>
    <row r="24" spans="1:9" ht="26.25" customHeight="1" thickBot="1">
      <c r="A24" s="385" t="s">
        <v>8</v>
      </c>
      <c r="B24" s="540">
        <f aca="true" t="shared" si="0" ref="B24:G24">SUM(B23)</f>
        <v>5877</v>
      </c>
      <c r="C24" s="541">
        <f t="shared" si="0"/>
        <v>17220</v>
      </c>
      <c r="D24" s="540">
        <f t="shared" si="0"/>
        <v>0</v>
      </c>
      <c r="E24" s="541">
        <f t="shared" si="0"/>
        <v>10000</v>
      </c>
      <c r="F24" s="540">
        <f t="shared" si="0"/>
        <v>5877</v>
      </c>
      <c r="G24" s="541">
        <f t="shared" si="0"/>
        <v>27220</v>
      </c>
      <c r="H24" s="522"/>
      <c r="I24" s="522"/>
    </row>
    <row r="25" spans="1:9" ht="26.25" customHeight="1">
      <c r="A25" s="729" t="s">
        <v>435</v>
      </c>
      <c r="B25" s="730"/>
      <c r="C25" s="730"/>
      <c r="D25" s="731"/>
      <c r="E25" s="731"/>
      <c r="F25" s="731"/>
      <c r="G25" s="731"/>
      <c r="H25" s="522"/>
      <c r="I25" s="522"/>
    </row>
    <row r="26" spans="1:7" s="72" customFormat="1" ht="32.25" customHeight="1">
      <c r="A26" s="718" t="s">
        <v>419</v>
      </c>
      <c r="B26" s="625"/>
      <c r="C26" s="625"/>
      <c r="D26" s="625"/>
      <c r="E26" s="625"/>
      <c r="F26" s="625"/>
      <c r="G26" s="625"/>
    </row>
    <row r="27" spans="1:9" ht="12.75">
      <c r="A27" s="718" t="s">
        <v>420</v>
      </c>
      <c r="B27" s="625"/>
      <c r="C27" s="625"/>
      <c r="D27" s="625"/>
      <c r="E27" s="625"/>
      <c r="F27" s="625"/>
      <c r="G27" s="625"/>
      <c r="H27" s="522"/>
      <c r="I27" s="522"/>
    </row>
    <row r="28" spans="1:9" ht="12.75">
      <c r="A28" s="718" t="s">
        <v>416</v>
      </c>
      <c r="B28" s="625"/>
      <c r="C28" s="625"/>
      <c r="D28" s="625"/>
      <c r="E28" s="625"/>
      <c r="F28" s="625"/>
      <c r="G28" s="625"/>
      <c r="H28" s="521"/>
      <c r="I28" s="521"/>
    </row>
    <row r="29" spans="1:9" ht="6.75" customHeight="1">
      <c r="A29" s="537"/>
      <c r="B29" s="520"/>
      <c r="C29" s="520"/>
      <c r="D29" s="520"/>
      <c r="E29" s="520"/>
      <c r="F29" s="520"/>
      <c r="G29" s="520"/>
      <c r="H29" s="520"/>
      <c r="I29" s="520"/>
    </row>
    <row r="30" spans="1:9" ht="12.75">
      <c r="A30" s="537" t="s">
        <v>417</v>
      </c>
      <c r="B30" s="31"/>
      <c r="C30" s="31"/>
      <c r="D30" s="31"/>
      <c r="E30" s="31"/>
      <c r="F30" s="31"/>
      <c r="G30" s="31"/>
      <c r="H30" s="31"/>
      <c r="I30" s="31"/>
    </row>
    <row r="31" spans="1:9" ht="12.75">
      <c r="A31" s="537" t="s">
        <v>418</v>
      </c>
      <c r="B31" s="31"/>
      <c r="C31" s="31"/>
      <c r="D31" s="31"/>
      <c r="E31" s="31"/>
      <c r="F31" s="31"/>
      <c r="G31" s="31"/>
      <c r="H31" s="31"/>
      <c r="I31" s="31"/>
    </row>
    <row r="32" spans="1:9" ht="12.75">
      <c r="A32" s="405"/>
      <c r="B32" s="31"/>
      <c r="C32" s="31"/>
      <c r="D32" s="31"/>
      <c r="E32" s="31"/>
      <c r="F32" s="31"/>
      <c r="G32" s="31"/>
      <c r="H32" s="31"/>
      <c r="I32" s="31"/>
    </row>
    <row r="33" ht="12.75">
      <c r="A33" s="444"/>
    </row>
    <row r="34" spans="1:9" ht="13.5">
      <c r="A34" s="719" t="s">
        <v>437</v>
      </c>
      <c r="B34" s="671"/>
      <c r="C34" s="671"/>
      <c r="D34" s="671"/>
      <c r="E34" s="671"/>
      <c r="F34" s="671"/>
      <c r="G34" s="671"/>
      <c r="H34" s="671"/>
      <c r="I34" s="671"/>
    </row>
    <row r="35" spans="1:9" ht="13.5">
      <c r="A35" s="719" t="s">
        <v>438</v>
      </c>
      <c r="B35" s="671"/>
      <c r="C35" s="671"/>
      <c r="D35" s="671"/>
      <c r="E35" s="671"/>
      <c r="F35" s="671"/>
      <c r="G35" s="671"/>
      <c r="H35" s="671"/>
      <c r="I35" s="671"/>
    </row>
    <row r="36" spans="1:9" ht="13.5" thickBot="1">
      <c r="A36" s="4" t="s">
        <v>484</v>
      </c>
      <c r="I36" s="57" t="s">
        <v>440</v>
      </c>
    </row>
    <row r="37" spans="1:9" ht="12.75">
      <c r="A37" s="389" t="s">
        <v>88</v>
      </c>
      <c r="B37" s="722" t="s">
        <v>89</v>
      </c>
      <c r="C37" s="723"/>
      <c r="D37" s="720" t="s">
        <v>90</v>
      </c>
      <c r="E37" s="721"/>
      <c r="F37" s="722" t="s">
        <v>91</v>
      </c>
      <c r="G37" s="723"/>
      <c r="H37" s="722" t="s">
        <v>8</v>
      </c>
      <c r="I37" s="723"/>
    </row>
    <row r="38" spans="1:9" ht="12.75">
      <c r="A38" s="390"/>
      <c r="B38" s="542" t="s">
        <v>338</v>
      </c>
      <c r="C38" s="377" t="s">
        <v>92</v>
      </c>
      <c r="D38" s="391" t="s">
        <v>338</v>
      </c>
      <c r="E38" s="377" t="s">
        <v>92</v>
      </c>
      <c r="F38" s="391" t="s">
        <v>338</v>
      </c>
      <c r="G38" s="377" t="s">
        <v>92</v>
      </c>
      <c r="H38" s="391" t="s">
        <v>338</v>
      </c>
      <c r="I38" s="377" t="s">
        <v>92</v>
      </c>
    </row>
    <row r="39" spans="1:9" ht="13.5" thickBot="1">
      <c r="A39" s="385" t="s">
        <v>94</v>
      </c>
      <c r="B39" s="564" t="s">
        <v>0</v>
      </c>
      <c r="C39" s="565">
        <v>22830</v>
      </c>
      <c r="D39" s="564" t="s">
        <v>0</v>
      </c>
      <c r="E39" s="565">
        <v>5400</v>
      </c>
      <c r="F39" s="564" t="s">
        <v>0</v>
      </c>
      <c r="G39" s="565">
        <v>770</v>
      </c>
      <c r="H39" s="564" t="s">
        <v>0</v>
      </c>
      <c r="I39" s="565">
        <v>19045</v>
      </c>
    </row>
    <row r="40" ht="7.5" customHeight="1"/>
    <row r="41" spans="1:9" ht="37.5" customHeight="1">
      <c r="A41" s="718" t="s">
        <v>439</v>
      </c>
      <c r="B41" s="625"/>
      <c r="C41" s="625"/>
      <c r="D41" s="625"/>
      <c r="E41" s="625"/>
      <c r="F41" s="625"/>
      <c r="G41" s="625"/>
      <c r="H41" s="31"/>
      <c r="I41" s="31"/>
    </row>
    <row r="42" spans="1:9" ht="12.75">
      <c r="A42" s="405"/>
      <c r="B42" s="31"/>
      <c r="C42" s="31"/>
      <c r="D42" s="31"/>
      <c r="E42" s="31"/>
      <c r="F42" s="31" t="s">
        <v>0</v>
      </c>
      <c r="G42" s="31"/>
      <c r="H42" s="31"/>
      <c r="I42" s="31" t="s">
        <v>0</v>
      </c>
    </row>
  </sheetData>
  <mergeCells count="24">
    <mergeCell ref="A41:G41"/>
    <mergeCell ref="A25:G25"/>
    <mergeCell ref="A34:I34"/>
    <mergeCell ref="B37:C37"/>
    <mergeCell ref="D37:E37"/>
    <mergeCell ref="F37:G37"/>
    <mergeCell ref="H37:I37"/>
    <mergeCell ref="A35:I35"/>
    <mergeCell ref="A26:G26"/>
    <mergeCell ref="A27:G27"/>
    <mergeCell ref="D21:E21"/>
    <mergeCell ref="F21:G21"/>
    <mergeCell ref="H21:I21"/>
    <mergeCell ref="A19:I19"/>
    <mergeCell ref="A28:G28"/>
    <mergeCell ref="A1:I1"/>
    <mergeCell ref="A2:I2"/>
    <mergeCell ref="D4:E4"/>
    <mergeCell ref="F4:G4"/>
    <mergeCell ref="A17:I17"/>
    <mergeCell ref="A18:I18"/>
    <mergeCell ref="B21:C21"/>
    <mergeCell ref="H4:I4"/>
    <mergeCell ref="B4:C4"/>
  </mergeCells>
  <printOptions horizontalCentered="1"/>
  <pageMargins left="0.74" right="0.5" top="0.88" bottom="0.984251968503937" header="0.5118110236220472" footer="0.5118110236220472"/>
  <pageSetup horizontalDpi="300" verticalDpi="300" orientation="portrait" paperSize="9" scale="95" r:id="rId1"/>
  <headerFooter alignWithMargins="0">
    <oddFooter>&amp;C21</oddFooter>
  </headerFooter>
</worksheet>
</file>

<file path=xl/worksheets/sheet3.xml><?xml version="1.0" encoding="utf-8"?>
<worksheet xmlns="http://schemas.openxmlformats.org/spreadsheetml/2006/main" xmlns:r="http://schemas.openxmlformats.org/officeDocument/2006/relationships">
  <dimension ref="A1:Q48"/>
  <sheetViews>
    <sheetView showGridLines="0" workbookViewId="0" topLeftCell="A16">
      <selection activeCell="H44" sqref="H44"/>
    </sheetView>
  </sheetViews>
  <sheetFormatPr defaultColWidth="9.00390625" defaultRowHeight="12.75"/>
  <cols>
    <col min="1" max="1" width="11.875" style="105" customWidth="1"/>
    <col min="2" max="2" width="17.125" style="105" customWidth="1"/>
    <col min="3" max="3" width="3.875" style="105" customWidth="1"/>
    <col min="4" max="4" width="14.375" style="105" customWidth="1"/>
    <col min="5" max="5" width="17.00390625" style="105" customWidth="1"/>
    <col min="6" max="6" width="3.25390625" style="105" customWidth="1"/>
    <col min="7" max="7" width="10.25390625" style="105" customWidth="1"/>
    <col min="8" max="8" width="13.75390625" style="105" customWidth="1"/>
    <col min="9" max="9" width="3.00390625" style="105" customWidth="1"/>
    <col min="10" max="10" width="2.00390625" style="105" customWidth="1"/>
    <col min="11" max="11" width="10.625" style="105" customWidth="1"/>
    <col min="12" max="12" width="22.375" style="105" customWidth="1"/>
    <col min="13" max="13" width="1.00390625" style="105" customWidth="1"/>
    <col min="14" max="14" width="15.375" style="105" customWidth="1"/>
    <col min="15" max="15" width="15.75390625" style="105" customWidth="1"/>
    <col min="16" max="16" width="9.25390625" style="105" customWidth="1"/>
    <col min="17" max="17" width="15.875" style="105" customWidth="1"/>
    <col min="18" max="16384" width="9.125" style="105" customWidth="1"/>
  </cols>
  <sheetData>
    <row r="1" spans="1:17" ht="18.75">
      <c r="A1" s="608" t="s">
        <v>207</v>
      </c>
      <c r="B1" s="608"/>
      <c r="C1" s="608"/>
      <c r="D1" s="608"/>
      <c r="E1" s="608"/>
      <c r="F1" s="608"/>
      <c r="G1" s="608"/>
      <c r="H1" s="608"/>
      <c r="I1" s="608"/>
      <c r="J1" s="608"/>
      <c r="K1" s="608"/>
      <c r="L1" s="608"/>
      <c r="M1" s="608"/>
      <c r="N1" s="608"/>
      <c r="O1" s="608"/>
      <c r="P1" s="608"/>
      <c r="Q1" s="111"/>
    </row>
    <row r="2" ht="13.5" thickBot="1"/>
    <row r="3" spans="8:9" ht="13.5" thickBot="1">
      <c r="H3" s="106" t="s">
        <v>163</v>
      </c>
      <c r="I3" s="110"/>
    </row>
    <row r="4" ht="13.5" thickBot="1"/>
    <row r="5" spans="8:9" ht="13.5" thickBot="1">
      <c r="H5" s="106" t="s">
        <v>164</v>
      </c>
      <c r="I5" s="110"/>
    </row>
    <row r="6" ht="13.5" thickBot="1"/>
    <row r="7" spans="8:12" ht="13.5" thickBot="1">
      <c r="H7" s="106" t="s">
        <v>165</v>
      </c>
      <c r="I7" s="110"/>
      <c r="L7" s="220" t="s">
        <v>314</v>
      </c>
    </row>
    <row r="8" spans="4:12" ht="12.75">
      <c r="D8" s="107" t="s">
        <v>359</v>
      </c>
      <c r="E8" s="110"/>
      <c r="F8" s="110"/>
      <c r="L8" s="108" t="s">
        <v>315</v>
      </c>
    </row>
    <row r="9" spans="4:12" ht="12.75">
      <c r="D9" s="108" t="s">
        <v>316</v>
      </c>
      <c r="E9" s="110"/>
      <c r="F9" s="110"/>
      <c r="L9" s="108" t="s">
        <v>317</v>
      </c>
    </row>
    <row r="10" spans="4:12" ht="13.5" thickBot="1">
      <c r="D10" s="109" t="s">
        <v>318</v>
      </c>
      <c r="E10" s="110"/>
      <c r="F10" s="110"/>
      <c r="L10" s="109" t="s">
        <v>319</v>
      </c>
    </row>
    <row r="11" spans="4:12" ht="12.75">
      <c r="D11" s="110"/>
      <c r="E11" s="110"/>
      <c r="F11" s="110"/>
      <c r="L11" s="110"/>
    </row>
    <row r="12" ht="13.5" thickBot="1"/>
    <row r="13" spans="4:14" ht="12.75">
      <c r="D13" s="107" t="s">
        <v>166</v>
      </c>
      <c r="E13" s="110"/>
      <c r="F13" s="110"/>
      <c r="N13" s="107" t="s">
        <v>175</v>
      </c>
    </row>
    <row r="14" spans="4:14" ht="13.5" thickBot="1">
      <c r="D14" s="109" t="s">
        <v>167</v>
      </c>
      <c r="E14" s="110"/>
      <c r="F14" s="110"/>
      <c r="N14" s="109" t="s">
        <v>167</v>
      </c>
    </row>
    <row r="15" ht="13.5" thickBot="1"/>
    <row r="16" spans="2:14" ht="13.5" thickBot="1">
      <c r="B16" s="106" t="s">
        <v>364</v>
      </c>
      <c r="D16" s="106" t="s">
        <v>168</v>
      </c>
      <c r="E16" s="110"/>
      <c r="F16" s="110"/>
      <c r="N16" s="106" t="s">
        <v>168</v>
      </c>
    </row>
    <row r="17" spans="2:14" ht="13.5" thickBot="1">
      <c r="B17" s="110"/>
      <c r="D17" s="110"/>
      <c r="E17" s="110"/>
      <c r="F17" s="110"/>
      <c r="N17" s="110"/>
    </row>
    <row r="18" spans="2:15" ht="12.75">
      <c r="B18" s="110"/>
      <c r="D18" s="110"/>
      <c r="E18" s="110"/>
      <c r="F18" s="110"/>
      <c r="N18" s="110"/>
      <c r="O18" s="107" t="s">
        <v>285</v>
      </c>
    </row>
    <row r="19" spans="4:15" ht="13.5" thickBot="1">
      <c r="D19" s="104"/>
      <c r="E19" s="104"/>
      <c r="F19" s="104"/>
      <c r="K19" s="104"/>
      <c r="O19" s="109" t="s">
        <v>286</v>
      </c>
    </row>
    <row r="20" spans="4:11" ht="13.5" thickBot="1">
      <c r="D20" s="104"/>
      <c r="E20" s="104"/>
      <c r="F20" s="104"/>
      <c r="K20" s="104"/>
    </row>
    <row r="21" spans="1:16" ht="12.75">
      <c r="A21" s="107" t="s">
        <v>169</v>
      </c>
      <c r="D21" s="107" t="s">
        <v>169</v>
      </c>
      <c r="G21" s="107" t="s">
        <v>169</v>
      </c>
      <c r="H21" s="110"/>
      <c r="K21" s="107" t="s">
        <v>169</v>
      </c>
      <c r="N21" s="107" t="s">
        <v>169</v>
      </c>
      <c r="P21" s="220" t="s">
        <v>169</v>
      </c>
    </row>
    <row r="22" spans="1:16" ht="13.5" thickBot="1">
      <c r="A22" s="109" t="s">
        <v>170</v>
      </c>
      <c r="D22" s="109" t="s">
        <v>170</v>
      </c>
      <c r="G22" s="109" t="s">
        <v>170</v>
      </c>
      <c r="H22" s="110"/>
      <c r="K22" s="109" t="s">
        <v>170</v>
      </c>
      <c r="N22" s="109" t="s">
        <v>170</v>
      </c>
      <c r="P22" s="109" t="s">
        <v>170</v>
      </c>
    </row>
    <row r="23" ht="13.5" thickBot="1"/>
    <row r="24" spans="2:17" ht="13.5" thickBot="1">
      <c r="B24" s="106" t="s">
        <v>361</v>
      </c>
      <c r="C24" s="104"/>
      <c r="E24" s="106" t="s">
        <v>282</v>
      </c>
      <c r="F24" s="110"/>
      <c r="G24" s="219"/>
      <c r="H24" s="106" t="s">
        <v>281</v>
      </c>
      <c r="L24" s="110" t="s">
        <v>0</v>
      </c>
      <c r="O24" s="107" t="s">
        <v>288</v>
      </c>
      <c r="Q24" s="106" t="s">
        <v>172</v>
      </c>
    </row>
    <row r="25" spans="2:15" ht="13.5" thickBot="1">
      <c r="B25" s="110" t="s">
        <v>360</v>
      </c>
      <c r="C25" s="104"/>
      <c r="G25" s="219"/>
      <c r="H25" s="110" t="s">
        <v>0</v>
      </c>
      <c r="L25" s="106" t="s">
        <v>284</v>
      </c>
      <c r="O25" s="109" t="s">
        <v>287</v>
      </c>
    </row>
    <row r="26" ht="13.5" thickBot="1">
      <c r="H26" s="110"/>
    </row>
    <row r="27" spans="2:17" ht="13.5" thickBot="1">
      <c r="B27" s="106" t="s">
        <v>171</v>
      </c>
      <c r="C27" s="104"/>
      <c r="E27" s="107" t="s">
        <v>362</v>
      </c>
      <c r="F27" s="110"/>
      <c r="H27" s="110"/>
      <c r="L27" s="110" t="s">
        <v>0</v>
      </c>
      <c r="O27" s="110"/>
      <c r="Q27" s="107" t="s">
        <v>290</v>
      </c>
    </row>
    <row r="28" spans="5:17" ht="13.5" thickBot="1">
      <c r="E28" s="109" t="s">
        <v>363</v>
      </c>
      <c r="F28" s="110"/>
      <c r="H28" s="110"/>
      <c r="O28" s="110"/>
      <c r="Q28" s="109" t="s">
        <v>289</v>
      </c>
    </row>
    <row r="29" spans="2:15" ht="12.75">
      <c r="B29" s="107" t="s">
        <v>320</v>
      </c>
      <c r="C29" s="104"/>
      <c r="L29" s="107" t="s">
        <v>173</v>
      </c>
      <c r="O29" s="219"/>
    </row>
    <row r="30" spans="2:15" ht="13.5" thickBot="1">
      <c r="B30" s="109" t="s">
        <v>283</v>
      </c>
      <c r="L30" s="109" t="s">
        <v>174</v>
      </c>
      <c r="O30" s="219"/>
    </row>
    <row r="31" spans="2:17" ht="16.5" customHeight="1">
      <c r="B31" s="110"/>
      <c r="C31" s="104"/>
      <c r="E31" s="110"/>
      <c r="F31" s="110"/>
      <c r="H31" s="313"/>
      <c r="L31" s="110"/>
      <c r="O31" s="110"/>
      <c r="Q31" s="110"/>
    </row>
    <row r="32" spans="2:17" ht="12.75">
      <c r="B32" s="110"/>
      <c r="C32" s="104"/>
      <c r="D32" s="222"/>
      <c r="L32" s="110"/>
      <c r="O32" s="110"/>
      <c r="Q32" s="110"/>
    </row>
    <row r="33" spans="12:15" ht="12.75">
      <c r="L33" s="110" t="s">
        <v>0</v>
      </c>
      <c r="O33" s="219"/>
    </row>
    <row r="34" spans="12:15" ht="12.75">
      <c r="L34" s="110" t="s">
        <v>0</v>
      </c>
      <c r="O34" s="110"/>
    </row>
    <row r="35" spans="12:15" ht="12.75">
      <c r="L35" s="105" t="s">
        <v>0</v>
      </c>
      <c r="O35" s="110"/>
    </row>
    <row r="36" ht="12.75">
      <c r="B36" s="219" t="s">
        <v>0</v>
      </c>
    </row>
    <row r="38" spans="1:7" ht="18.75">
      <c r="A38" s="113" t="s">
        <v>0</v>
      </c>
      <c r="B38" s="72"/>
      <c r="C38" s="72"/>
      <c r="D38" s="72"/>
      <c r="E38" s="72"/>
      <c r="F38" s="72"/>
      <c r="G38" s="72"/>
    </row>
    <row r="41" ht="13.5" thickBot="1"/>
    <row r="42" spans="3:14" ht="13.5" thickBot="1">
      <c r="C42" s="609" t="s">
        <v>259</v>
      </c>
      <c r="D42" s="610"/>
      <c r="N42" s="106" t="s">
        <v>259</v>
      </c>
    </row>
    <row r="43" spans="4:14" ht="12.75">
      <c r="D43" s="311"/>
      <c r="N43" s="110" t="s">
        <v>0</v>
      </c>
    </row>
    <row r="44" spans="1:12" ht="12.75">
      <c r="A44" s="606" t="s">
        <v>321</v>
      </c>
      <c r="B44" s="607"/>
      <c r="C44" s="607"/>
      <c r="D44" s="607"/>
      <c r="K44" s="219"/>
      <c r="L44" s="219"/>
    </row>
    <row r="45" spans="1:14" ht="12.75">
      <c r="A45" s="606" t="s">
        <v>323</v>
      </c>
      <c r="B45" s="607"/>
      <c r="C45" s="607"/>
      <c r="D45" s="607"/>
      <c r="K45" s="219"/>
      <c r="L45" s="219"/>
      <c r="N45" s="110" t="s">
        <v>0</v>
      </c>
    </row>
    <row r="46" spans="1:4" ht="12.75">
      <c r="A46" s="606" t="s">
        <v>322</v>
      </c>
      <c r="B46" s="607"/>
      <c r="C46" s="607"/>
      <c r="D46" s="607"/>
    </row>
    <row r="48" ht="12.75">
      <c r="N48" s="219"/>
    </row>
  </sheetData>
  <mergeCells count="5">
    <mergeCell ref="A46:D46"/>
    <mergeCell ref="A1:P1"/>
    <mergeCell ref="C42:D42"/>
    <mergeCell ref="A44:D44"/>
    <mergeCell ref="A45:D45"/>
  </mergeCells>
  <printOptions/>
  <pageMargins left="0.4" right="0.43" top="0.54" bottom="0.7086614173228347" header="0.5118110236220472" footer="0.5118110236220472"/>
  <pageSetup horizontalDpi="300" verticalDpi="300" orientation="landscape" paperSize="9" scale="70"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dimension ref="B2:G13"/>
  <sheetViews>
    <sheetView showGridLines="0" workbookViewId="0" topLeftCell="A1">
      <selection activeCell="H44" sqref="H44"/>
    </sheetView>
  </sheetViews>
  <sheetFormatPr defaultColWidth="9.00390625" defaultRowHeight="12.75"/>
  <cols>
    <col min="1" max="1" width="6.875" style="124" customWidth="1"/>
    <col min="2" max="5" width="9.125" style="124" customWidth="1"/>
    <col min="6" max="6" width="11.00390625" style="124" customWidth="1"/>
    <col min="7" max="7" width="28.25390625" style="124" customWidth="1"/>
    <col min="8" max="16384" width="9.125" style="124" customWidth="1"/>
  </cols>
  <sheetData>
    <row r="2" spans="2:7" ht="20.25">
      <c r="B2" s="593" t="s">
        <v>198</v>
      </c>
      <c r="C2" s="594"/>
      <c r="D2" s="594"/>
      <c r="E2" s="594"/>
      <c r="F2" s="594"/>
      <c r="G2" s="594"/>
    </row>
    <row r="3" spans="2:7" ht="18.75" customHeight="1" thickBot="1">
      <c r="B3" s="611" t="s">
        <v>197</v>
      </c>
      <c r="C3" s="611"/>
      <c r="D3" s="611"/>
      <c r="E3" s="611"/>
      <c r="F3" s="611"/>
      <c r="G3" s="611"/>
    </row>
    <row r="4" spans="2:7" s="123" customFormat="1" ht="36.75" customHeight="1">
      <c r="B4" s="510" t="s">
        <v>192</v>
      </c>
      <c r="C4" s="511"/>
      <c r="D4" s="511"/>
      <c r="E4" s="511"/>
      <c r="F4" s="511"/>
      <c r="G4" s="512"/>
    </row>
    <row r="5" spans="2:7" ht="45" customHeight="1">
      <c r="B5" s="513" t="s">
        <v>194</v>
      </c>
      <c r="C5" s="125"/>
      <c r="D5" s="125"/>
      <c r="E5" s="125"/>
      <c r="F5" s="125"/>
      <c r="G5" s="514"/>
    </row>
    <row r="6" spans="2:7" ht="41.25" customHeight="1">
      <c r="B6" s="513" t="s">
        <v>392</v>
      </c>
      <c r="C6" s="125"/>
      <c r="D6" s="125"/>
      <c r="E6" s="125"/>
      <c r="F6" s="125"/>
      <c r="G6" s="514"/>
    </row>
    <row r="7" spans="2:7" ht="39" customHeight="1">
      <c r="B7" s="513" t="s">
        <v>429</v>
      </c>
      <c r="C7" s="125"/>
      <c r="D7" s="125"/>
      <c r="E7" s="125"/>
      <c r="F7" s="125"/>
      <c r="G7" s="514"/>
    </row>
    <row r="8" spans="2:7" ht="14.25" customHeight="1">
      <c r="B8" s="513"/>
      <c r="C8" s="508"/>
      <c r="D8" s="508"/>
      <c r="E8" s="509"/>
      <c r="F8" s="509"/>
      <c r="G8" s="526"/>
    </row>
    <row r="9" spans="2:7" s="123" customFormat="1" ht="33" customHeight="1">
      <c r="B9" s="515" t="s">
        <v>193</v>
      </c>
      <c r="C9" s="126"/>
      <c r="D9" s="126"/>
      <c r="E9" s="126"/>
      <c r="F9" s="126"/>
      <c r="G9" s="516"/>
    </row>
    <row r="10" spans="2:7" ht="45" customHeight="1">
      <c r="B10" s="513" t="s">
        <v>410</v>
      </c>
      <c r="C10" s="125"/>
      <c r="D10" s="125"/>
      <c r="E10" s="125"/>
      <c r="F10" s="125"/>
      <c r="G10" s="514"/>
    </row>
    <row r="11" spans="2:7" ht="45.75" customHeight="1">
      <c r="B11" s="524" t="s">
        <v>403</v>
      </c>
      <c r="C11" s="125"/>
      <c r="D11" s="125"/>
      <c r="E11" s="125"/>
      <c r="F11" s="125"/>
      <c r="G11" s="514"/>
    </row>
    <row r="12" spans="2:7" ht="42" customHeight="1">
      <c r="B12" s="513" t="s">
        <v>195</v>
      </c>
      <c r="C12" s="125"/>
      <c r="D12" s="125"/>
      <c r="E12" s="125"/>
      <c r="F12" s="125"/>
      <c r="G12" s="514"/>
    </row>
    <row r="13" spans="2:7" ht="44.25" customHeight="1" thickBot="1">
      <c r="B13" s="595" t="s">
        <v>291</v>
      </c>
      <c r="C13" s="596"/>
      <c r="D13" s="596"/>
      <c r="E13" s="596"/>
      <c r="F13" s="517"/>
      <c r="G13" s="518"/>
    </row>
  </sheetData>
  <mergeCells count="3">
    <mergeCell ref="B3:G3"/>
    <mergeCell ref="B2:G2"/>
    <mergeCell ref="B13:E13"/>
  </mergeCells>
  <printOptions/>
  <pageMargins left="0.62" right="0.62" top="0.97" bottom="1" header="0.5" footer="0.5"/>
  <pageSetup horizontalDpi="300" verticalDpi="300" orientation="portrait" paperSize="9"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showGridLines="0" workbookViewId="0" topLeftCell="A1">
      <selection activeCell="E33" sqref="E33"/>
    </sheetView>
  </sheetViews>
  <sheetFormatPr defaultColWidth="9.00390625" defaultRowHeight="12.75"/>
  <cols>
    <col min="1" max="1" width="9.125" style="76" customWidth="1"/>
    <col min="2" max="2" width="15.75390625" style="76" customWidth="1"/>
    <col min="3" max="3" width="15.125" style="76" customWidth="1"/>
    <col min="4" max="4" width="9.125" style="76" customWidth="1"/>
    <col min="5" max="5" width="17.375" style="76" customWidth="1"/>
    <col min="6" max="7" width="9.125" style="76" customWidth="1"/>
    <col min="8" max="8" width="15.75390625" style="76" bestFit="1" customWidth="1"/>
    <col min="9" max="9" width="9.125" style="76" customWidth="1"/>
    <col min="10" max="10" width="9.25390625" style="76" bestFit="1" customWidth="1"/>
    <col min="11" max="11" width="13.75390625" style="76" bestFit="1" customWidth="1"/>
    <col min="12" max="12" width="19.75390625" style="76" customWidth="1"/>
    <col min="13" max="16384" width="9.125" style="76" customWidth="1"/>
  </cols>
  <sheetData>
    <row r="1" spans="1:10" ht="18.75">
      <c r="A1" s="96" t="s">
        <v>107</v>
      </c>
      <c r="J1" s="76" t="s">
        <v>189</v>
      </c>
    </row>
    <row r="2" ht="18.75">
      <c r="A2" s="96" t="s">
        <v>457</v>
      </c>
    </row>
    <row r="3" spans="1:3" ht="18">
      <c r="A3" s="5" t="s">
        <v>196</v>
      </c>
      <c r="B3" s="77"/>
      <c r="C3" s="77"/>
    </row>
    <row r="4" ht="6.75" customHeight="1"/>
    <row r="5" spans="1:11" ht="18">
      <c r="A5" s="154" t="s">
        <v>0</v>
      </c>
      <c r="B5" s="155"/>
      <c r="C5" s="156" t="s">
        <v>143</v>
      </c>
      <c r="D5" s="156"/>
      <c r="E5" s="157" t="s">
        <v>144</v>
      </c>
      <c r="K5" s="76" t="s">
        <v>0</v>
      </c>
    </row>
    <row r="6" spans="1:11" ht="18">
      <c r="A6" s="158" t="s">
        <v>230</v>
      </c>
      <c r="B6" s="159"/>
      <c r="C6" s="244">
        <f>18615+5688</f>
        <v>24303</v>
      </c>
      <c r="D6" s="244"/>
      <c r="E6" s="245">
        <f>13726+3746</f>
        <v>17472</v>
      </c>
      <c r="G6" s="76" t="s">
        <v>0</v>
      </c>
      <c r="K6" s="76" t="s">
        <v>0</v>
      </c>
    </row>
    <row r="7" spans="1:11" ht="23.25">
      <c r="A7" s="158" t="s">
        <v>145</v>
      </c>
      <c r="B7" s="159"/>
      <c r="C7" s="244">
        <f>140+433</f>
        <v>573</v>
      </c>
      <c r="D7" s="244"/>
      <c r="E7" s="245">
        <f>66+258</f>
        <v>324</v>
      </c>
      <c r="G7" s="114"/>
      <c r="H7" s="375" t="s">
        <v>0</v>
      </c>
      <c r="K7" s="76" t="s">
        <v>0</v>
      </c>
    </row>
    <row r="8" spans="1:12" ht="18.75" thickBot="1">
      <c r="A8" s="160" t="s">
        <v>1</v>
      </c>
      <c r="B8" s="161"/>
      <c r="C8" s="246">
        <f>51+28</f>
        <v>79</v>
      </c>
      <c r="D8" s="244"/>
      <c r="E8" s="247">
        <f>5</f>
        <v>5</v>
      </c>
      <c r="G8" s="76" t="s">
        <v>0</v>
      </c>
      <c r="K8" s="76" t="s">
        <v>0</v>
      </c>
      <c r="L8" s="561" t="s">
        <v>0</v>
      </c>
    </row>
    <row r="9" spans="1:7" ht="18">
      <c r="A9" s="162" t="s">
        <v>231</v>
      </c>
      <c r="B9" s="163"/>
      <c r="C9" s="248">
        <f>SUM(C6:C8)</f>
        <v>24955</v>
      </c>
      <c r="D9" s="249"/>
      <c r="E9" s="250">
        <f>SUM(E6:E8)</f>
        <v>17801</v>
      </c>
      <c r="G9" s="76" t="s">
        <v>0</v>
      </c>
    </row>
    <row r="10" spans="1:7" s="81" customFormat="1" ht="18">
      <c r="A10" s="78"/>
      <c r="B10" s="78"/>
      <c r="C10" s="79" t="s">
        <v>0</v>
      </c>
      <c r="D10" s="80"/>
      <c r="E10" s="79" t="s">
        <v>0</v>
      </c>
      <c r="G10" s="81" t="s">
        <v>0</v>
      </c>
    </row>
    <row r="11" s="81" customFormat="1" ht="18">
      <c r="J11" s="81" t="s">
        <v>0</v>
      </c>
    </row>
    <row r="12" ht="18">
      <c r="J12" s="76" t="s">
        <v>0</v>
      </c>
    </row>
    <row r="13" ht="18">
      <c r="J13" s="76" t="s">
        <v>0</v>
      </c>
    </row>
    <row r="17" ht="18">
      <c r="I17" s="130"/>
    </row>
    <row r="22" spans="1:8" ht="27" customHeight="1">
      <c r="A22" s="266"/>
      <c r="B22" s="266"/>
      <c r="C22" s="266"/>
      <c r="D22" s="266"/>
      <c r="E22" s="266"/>
      <c r="F22" s="265"/>
      <c r="G22" s="265"/>
      <c r="H22" s="265"/>
    </row>
    <row r="23" spans="1:7" ht="26.25" customHeight="1">
      <c r="A23" s="364" t="s">
        <v>204</v>
      </c>
      <c r="B23" s="2"/>
      <c r="C23" s="2"/>
      <c r="D23" s="2"/>
      <c r="E23" s="267"/>
      <c r="F23" s="264"/>
      <c r="G23" s="264"/>
    </row>
    <row r="24" spans="1:5" ht="18">
      <c r="A24" s="4" t="s">
        <v>201</v>
      </c>
      <c r="B24" s="3"/>
      <c r="C24" s="3"/>
      <c r="D24" s="3"/>
      <c r="E24" s="3"/>
    </row>
    <row r="25" spans="1:5" ht="18">
      <c r="A25" s="364" t="s">
        <v>458</v>
      </c>
      <c r="B25" s="3"/>
      <c r="C25" s="3"/>
      <c r="D25" s="3"/>
      <c r="E25" s="3"/>
    </row>
    <row r="26" spans="1:5" ht="18">
      <c r="A26" s="57" t="s">
        <v>142</v>
      </c>
      <c r="B26" s="57"/>
      <c r="C26" s="57"/>
      <c r="D26" s="57"/>
      <c r="E26"/>
    </row>
    <row r="27" spans="1:5" ht="18.75" thickBot="1">
      <c r="A27" s="254"/>
      <c r="B27" s="156"/>
      <c r="C27" s="251" t="s">
        <v>2</v>
      </c>
      <c r="D27" s="252"/>
      <c r="E27" s="253" t="s">
        <v>3</v>
      </c>
    </row>
    <row r="28" spans="1:5" ht="18">
      <c r="A28" s="255" t="s">
        <v>4</v>
      </c>
      <c r="B28" s="256"/>
      <c r="C28" s="240">
        <v>1515</v>
      </c>
      <c r="D28" s="240"/>
      <c r="E28" s="241">
        <v>888</v>
      </c>
    </row>
    <row r="29" spans="1:5" ht="18">
      <c r="A29" s="255" t="s">
        <v>5</v>
      </c>
      <c r="B29" s="256"/>
      <c r="C29" s="240">
        <v>1997</v>
      </c>
      <c r="D29" s="240"/>
      <c r="E29" s="241">
        <v>1513</v>
      </c>
    </row>
    <row r="30" spans="1:5" ht="18">
      <c r="A30" s="255" t="s">
        <v>6</v>
      </c>
      <c r="B30" s="256"/>
      <c r="C30" s="240">
        <v>1518</v>
      </c>
      <c r="D30" s="240"/>
      <c r="E30" s="241">
        <v>679</v>
      </c>
    </row>
    <row r="31" spans="1:7" ht="18">
      <c r="A31" s="255" t="s">
        <v>7</v>
      </c>
      <c r="B31" s="256"/>
      <c r="C31" s="240">
        <f>99+20</f>
        <v>119</v>
      </c>
      <c r="D31" s="240"/>
      <c r="E31" s="240">
        <f>32+5</f>
        <v>37</v>
      </c>
      <c r="G31" s="76" t="s">
        <v>0</v>
      </c>
    </row>
    <row r="32" spans="1:5" ht="18.75" thickBot="1">
      <c r="A32" s="255" t="s">
        <v>141</v>
      </c>
      <c r="B32" s="256"/>
      <c r="C32" s="242">
        <v>51</v>
      </c>
      <c r="D32" s="240"/>
      <c r="E32" s="243">
        <v>0</v>
      </c>
    </row>
    <row r="33" spans="1:7" ht="14.25" customHeight="1">
      <c r="A33" s="257" t="s">
        <v>8</v>
      </c>
      <c r="B33" s="258"/>
      <c r="C33" s="248">
        <f>SUM(C28:C32)</f>
        <v>5200</v>
      </c>
      <c r="D33" s="259"/>
      <c r="E33" s="250">
        <f>SUM(E28:E32)</f>
        <v>3117</v>
      </c>
      <c r="G33" s="76" t="s">
        <v>0</v>
      </c>
    </row>
    <row r="34" spans="3:5" ht="18">
      <c r="C34" s="76" t="s">
        <v>0</v>
      </c>
      <c r="E34" s="76" t="s">
        <v>0</v>
      </c>
    </row>
    <row r="48" ht="18">
      <c r="C48" s="447" t="s">
        <v>0</v>
      </c>
    </row>
    <row r="52" ht="18">
      <c r="C52" s="76" t="s">
        <v>0</v>
      </c>
    </row>
    <row r="54" ht="18">
      <c r="C54" s="76" t="s">
        <v>0</v>
      </c>
    </row>
  </sheetData>
  <printOptions horizontalCentered="1"/>
  <pageMargins left="1.22" right="0" top="0.82" bottom="0" header="0" footer="0"/>
  <pageSetup fitToHeight="1" fitToWidth="1" horizontalDpi="300" verticalDpi="300" orientation="portrait" paperSize="9" scale="5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workbookViewId="0" topLeftCell="A37">
      <selection activeCell="H44" sqref="H44"/>
    </sheetView>
  </sheetViews>
  <sheetFormatPr defaultColWidth="9.00390625" defaultRowHeight="12.75"/>
  <cols>
    <col min="1" max="1" width="6.125" style="0" customWidth="1"/>
    <col min="2" max="2" width="17.125" style="0" customWidth="1"/>
    <col min="3" max="3" width="11.375" style="0" customWidth="1"/>
    <col min="4" max="5" width="10.75390625" style="0" customWidth="1"/>
    <col min="6" max="6" width="12.25390625" style="0" customWidth="1"/>
  </cols>
  <sheetData>
    <row r="1" spans="1:11" ht="14.25">
      <c r="A1" s="15"/>
      <c r="B1" s="364" t="s">
        <v>202</v>
      </c>
      <c r="C1" s="3"/>
      <c r="D1" s="3"/>
      <c r="E1" s="3"/>
      <c r="F1" s="14"/>
      <c r="G1" s="67"/>
      <c r="H1" s="67"/>
      <c r="I1" s="67"/>
      <c r="J1" s="67"/>
      <c r="K1" s="15"/>
    </row>
    <row r="2" spans="1:8" ht="14.25">
      <c r="A2" s="4" t="s">
        <v>205</v>
      </c>
      <c r="B2" s="14"/>
      <c r="C2" s="14"/>
      <c r="D2" s="14"/>
      <c r="E2" s="14"/>
      <c r="F2" s="3"/>
      <c r="G2" s="3"/>
      <c r="H2" s="3"/>
    </row>
    <row r="3" spans="1:8" ht="14.25">
      <c r="A3" s="14"/>
      <c r="B3" s="591" t="s">
        <v>457</v>
      </c>
      <c r="C3" s="591"/>
      <c r="D3" s="591"/>
      <c r="E3" s="591"/>
      <c r="F3" s="3"/>
      <c r="G3" s="3"/>
      <c r="H3" s="3"/>
    </row>
    <row r="4" spans="2:13" s="31" customFormat="1" ht="27" customHeight="1">
      <c r="B4" s="57" t="s">
        <v>182</v>
      </c>
      <c r="C4" s="57"/>
      <c r="D4" s="57"/>
      <c r="E4" s="57"/>
      <c r="F4" s="57"/>
      <c r="H4" s="57"/>
      <c r="I4" s="57"/>
      <c r="J4" s="57"/>
      <c r="K4" s="57"/>
      <c r="L4" s="57"/>
      <c r="M4" s="57"/>
    </row>
    <row r="5" spans="2:6" ht="13.5" customHeight="1">
      <c r="B5" s="260"/>
      <c r="C5" s="592" t="s">
        <v>9</v>
      </c>
      <c r="D5" s="590"/>
      <c r="E5" s="589" t="s">
        <v>10</v>
      </c>
      <c r="F5" s="590"/>
    </row>
    <row r="6" spans="2:6" ht="15">
      <c r="B6" s="261"/>
      <c r="C6" s="262" t="s">
        <v>2</v>
      </c>
      <c r="D6" s="262" t="s">
        <v>3</v>
      </c>
      <c r="E6" s="262" t="s">
        <v>2</v>
      </c>
      <c r="F6" s="262" t="s">
        <v>3</v>
      </c>
    </row>
    <row r="7" spans="2:6" ht="12.75" customHeight="1">
      <c r="B7" s="261" t="s">
        <v>11</v>
      </c>
      <c r="C7" s="263">
        <v>15103</v>
      </c>
      <c r="D7" s="263">
        <v>11325</v>
      </c>
      <c r="E7" s="263">
        <v>4170</v>
      </c>
      <c r="F7" s="263">
        <v>3067</v>
      </c>
    </row>
    <row r="8" spans="2:6" ht="15">
      <c r="B8" s="261" t="s">
        <v>7</v>
      </c>
      <c r="C8" s="263">
        <v>334</v>
      </c>
      <c r="D8" s="263">
        <v>226</v>
      </c>
      <c r="E8" s="263">
        <v>120</v>
      </c>
      <c r="F8" s="263">
        <v>58</v>
      </c>
    </row>
    <row r="9" spans="2:6" ht="15">
      <c r="B9" s="261" t="s">
        <v>141</v>
      </c>
      <c r="C9" s="263">
        <v>0</v>
      </c>
      <c r="D9" s="263">
        <v>0</v>
      </c>
      <c r="E9" s="263">
        <v>0</v>
      </c>
      <c r="F9" s="263">
        <v>0</v>
      </c>
    </row>
    <row r="10" spans="2:6" ht="15">
      <c r="B10" s="261" t="s">
        <v>8</v>
      </c>
      <c r="C10" s="263">
        <f>SUM(C7:C9)</f>
        <v>15437</v>
      </c>
      <c r="D10" s="263">
        <f>SUM(D7:D9)</f>
        <v>11551</v>
      </c>
      <c r="E10" s="263">
        <f>SUM(E7:E9)</f>
        <v>4290</v>
      </c>
      <c r="F10" s="263">
        <f>SUM(F7:F9)</f>
        <v>3125</v>
      </c>
    </row>
    <row r="11" spans="1:6" s="14" customFormat="1" ht="12.75">
      <c r="A11" s="15"/>
      <c r="B11" s="15"/>
      <c r="C11" s="15"/>
      <c r="D11" s="15"/>
      <c r="E11" s="1" t="s">
        <v>0</v>
      </c>
      <c r="F11" s="1" t="s">
        <v>0</v>
      </c>
    </row>
    <row r="12" spans="1:6" ht="12.75">
      <c r="A12" s="14"/>
      <c r="B12" s="14"/>
      <c r="C12" s="14"/>
      <c r="D12" s="14"/>
      <c r="E12" s="14"/>
      <c r="F12" s="14"/>
    </row>
    <row r="48" ht="18">
      <c r="C48" s="447" t="s">
        <v>0</v>
      </c>
    </row>
  </sheetData>
  <mergeCells count="3">
    <mergeCell ref="C5:D5"/>
    <mergeCell ref="B3:E3"/>
    <mergeCell ref="E5:F5"/>
  </mergeCells>
  <printOptions horizontalCentered="1"/>
  <pageMargins left="0.7" right="0" top="1.04" bottom="0" header="0" footer="0"/>
  <pageSetup fitToHeight="1" fitToWidth="1" horizontalDpi="300" verticalDpi="3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3:E12"/>
  <sheetViews>
    <sheetView showGridLines="0" workbookViewId="0" topLeftCell="A1">
      <selection activeCell="E4" sqref="E4"/>
    </sheetView>
  </sheetViews>
  <sheetFormatPr defaultColWidth="9.00390625" defaultRowHeight="12.75"/>
  <cols>
    <col min="1" max="1" width="18.00390625" style="0" customWidth="1"/>
    <col min="2" max="2" width="13.375" style="0" customWidth="1"/>
    <col min="3" max="3" width="18.375" style="0" customWidth="1"/>
    <col min="4" max="4" width="33.25390625" style="0" customWidth="1"/>
    <col min="5" max="5" width="11.375" style="0" customWidth="1"/>
  </cols>
  <sheetData>
    <row r="3" spans="1:5" ht="16.5" customHeight="1">
      <c r="A3" s="614" t="s">
        <v>462</v>
      </c>
      <c r="B3" s="614"/>
      <c r="C3" s="614"/>
      <c r="D3" s="614"/>
      <c r="E3" s="365"/>
    </row>
    <row r="4" spans="1:5" ht="15.75">
      <c r="A4" s="615" t="s">
        <v>461</v>
      </c>
      <c r="B4" s="615"/>
      <c r="C4" s="615"/>
      <c r="D4" s="615"/>
      <c r="E4" s="365"/>
    </row>
    <row r="5" spans="1:5" ht="15.75">
      <c r="A5" s="615" t="s">
        <v>463</v>
      </c>
      <c r="B5" s="615"/>
      <c r="C5" s="615"/>
      <c r="D5" s="615"/>
      <c r="E5" s="365"/>
    </row>
    <row r="6" spans="1:5" ht="16.5" customHeight="1">
      <c r="A6" s="615" t="s">
        <v>460</v>
      </c>
      <c r="B6" s="615"/>
      <c r="C6" s="615"/>
      <c r="D6" s="615"/>
      <c r="E6" s="365"/>
    </row>
    <row r="7" spans="1:5" ht="31.5" customHeight="1">
      <c r="A7" s="618" t="s">
        <v>459</v>
      </c>
      <c r="B7" s="619"/>
      <c r="C7" s="619"/>
      <c r="D7" s="619"/>
      <c r="E7" s="70"/>
    </row>
    <row r="8" spans="1:4" ht="15.75">
      <c r="A8" s="616" t="s">
        <v>0</v>
      </c>
      <c r="B8" s="617"/>
      <c r="C8" s="82" t="s">
        <v>143</v>
      </c>
      <c r="D8" s="83" t="s">
        <v>144</v>
      </c>
    </row>
    <row r="9" spans="1:4" ht="15.75">
      <c r="A9" s="203" t="s">
        <v>145</v>
      </c>
      <c r="B9" s="202"/>
      <c r="C9" s="282">
        <v>0</v>
      </c>
      <c r="D9" s="283">
        <v>0</v>
      </c>
    </row>
    <row r="10" spans="1:4" ht="15.75">
      <c r="A10" s="203" t="s">
        <v>1</v>
      </c>
      <c r="B10" s="202"/>
      <c r="C10" s="284">
        <v>28</v>
      </c>
      <c r="D10" s="283">
        <v>5</v>
      </c>
    </row>
    <row r="11" spans="1:4" ht="15.75">
      <c r="A11" s="204" t="s">
        <v>12</v>
      </c>
      <c r="B11" s="205"/>
      <c r="C11" s="285">
        <f>SUM(C9:C10)</f>
        <v>28</v>
      </c>
      <c r="D11" s="286">
        <f>SUM(D9:D10)</f>
        <v>5</v>
      </c>
    </row>
    <row r="12" spans="1:4" ht="39.75" customHeight="1">
      <c r="A12" s="612" t="s">
        <v>523</v>
      </c>
      <c r="B12" s="613"/>
      <c r="C12" s="613"/>
      <c r="D12" s="613"/>
    </row>
  </sheetData>
  <mergeCells count="7">
    <mergeCell ref="A12:D12"/>
    <mergeCell ref="A3:D3"/>
    <mergeCell ref="A5:D5"/>
    <mergeCell ref="A8:B8"/>
    <mergeCell ref="A7:D7"/>
    <mergeCell ref="A4:D4"/>
    <mergeCell ref="A6:D6"/>
  </mergeCells>
  <printOptions horizontalCentered="1"/>
  <pageMargins left="0.92" right="0" top="0.23" bottom="0" header="0" footer="0"/>
  <pageSetup horizontalDpi="300" verticalDpi="300" orientation="portrait" paperSize="9" r:id="rId2"/>
  <headerFooter alignWithMargins="0">
    <oddFooter>&amp;C5</oddFooter>
  </headerFooter>
  <drawing r:id="rId1"/>
</worksheet>
</file>

<file path=xl/worksheets/sheet8.xml><?xml version="1.0" encoding="utf-8"?>
<worksheet xmlns="http://schemas.openxmlformats.org/spreadsheetml/2006/main" xmlns:r="http://schemas.openxmlformats.org/officeDocument/2006/relationships">
  <dimension ref="A1:L31"/>
  <sheetViews>
    <sheetView showGridLines="0" workbookViewId="0" topLeftCell="A16">
      <selection activeCell="G14" sqref="G14"/>
    </sheetView>
  </sheetViews>
  <sheetFormatPr defaultColWidth="9.00390625" defaultRowHeight="12.75"/>
  <cols>
    <col min="1" max="1" width="15.00390625" style="0" customWidth="1"/>
    <col min="2" max="2" width="8.25390625" style="0" customWidth="1"/>
    <col min="3" max="3" width="16.75390625" style="0" customWidth="1"/>
    <col min="4" max="4" width="1.00390625" style="0" customWidth="1"/>
    <col min="5" max="5" width="17.875" style="0" customWidth="1"/>
    <col min="6" max="6" width="2.75390625" style="0" customWidth="1"/>
    <col min="7" max="7" width="19.25390625" style="0" customWidth="1"/>
    <col min="8" max="8" width="0.74609375" style="0" customWidth="1"/>
    <col min="9" max="9" width="13.875" style="0" customWidth="1"/>
    <col min="10" max="10" width="14.875" style="0" customWidth="1"/>
    <col min="11" max="11" width="5.875" style="0" customWidth="1"/>
    <col min="12" max="12" width="9.625" style="0" customWidth="1"/>
  </cols>
  <sheetData>
    <row r="1" spans="3:7" ht="15.75">
      <c r="C1" s="5" t="s">
        <v>210</v>
      </c>
      <c r="D1" s="5"/>
      <c r="E1" s="6"/>
      <c r="F1" s="15"/>
      <c r="G1" s="15"/>
    </row>
    <row r="2" spans="3:7" ht="15.75">
      <c r="C2" s="84" t="s">
        <v>464</v>
      </c>
      <c r="D2" s="84"/>
      <c r="E2" s="85"/>
      <c r="F2" s="71"/>
      <c r="G2" s="71"/>
    </row>
    <row r="3" spans="3:6" ht="15.75">
      <c r="C3" s="5" t="s">
        <v>122</v>
      </c>
      <c r="D3" s="5"/>
      <c r="E3" s="5"/>
      <c r="F3" s="57"/>
    </row>
    <row r="4" spans="3:7" ht="4.5" customHeight="1" thickBot="1">
      <c r="C4" s="6"/>
      <c r="D4" s="6"/>
      <c r="E4" s="6"/>
      <c r="G4" s="16"/>
    </row>
    <row r="5" spans="3:7" ht="15">
      <c r="C5" s="359">
        <v>2001</v>
      </c>
      <c r="D5" s="145"/>
      <c r="E5" s="146">
        <v>8.5</v>
      </c>
      <c r="F5" s="145"/>
      <c r="G5" s="86" t="s">
        <v>146</v>
      </c>
    </row>
    <row r="6" spans="3:7" ht="15">
      <c r="C6" s="360">
        <v>2002</v>
      </c>
      <c r="D6" s="356"/>
      <c r="E6" s="147">
        <v>13.5</v>
      </c>
      <c r="F6" s="356"/>
      <c r="G6" s="357" t="s">
        <v>146</v>
      </c>
    </row>
    <row r="7" spans="3:7" ht="15">
      <c r="C7" s="360">
        <v>2003</v>
      </c>
      <c r="D7" s="356"/>
      <c r="E7" s="147">
        <v>18.8</v>
      </c>
      <c r="F7" s="356"/>
      <c r="G7" s="357" t="s">
        <v>146</v>
      </c>
    </row>
    <row r="8" spans="3:7" ht="16.5" customHeight="1">
      <c r="C8" s="360">
        <v>2004</v>
      </c>
      <c r="D8" s="356"/>
      <c r="E8" s="147">
        <v>22.6</v>
      </c>
      <c r="F8" s="356"/>
      <c r="G8" s="357" t="s">
        <v>146</v>
      </c>
    </row>
    <row r="9" spans="1:10" ht="16.5" customHeight="1">
      <c r="A9" s="73"/>
      <c r="B9" s="31"/>
      <c r="C9" s="360">
        <v>2005</v>
      </c>
      <c r="D9" s="356"/>
      <c r="E9" s="147">
        <v>30.3</v>
      </c>
      <c r="F9" s="356"/>
      <c r="G9" s="357" t="s">
        <v>146</v>
      </c>
      <c r="H9" s="31"/>
      <c r="I9" s="31"/>
      <c r="J9" s="31"/>
    </row>
    <row r="10" spans="1:10" ht="15.75" customHeight="1" thickBot="1">
      <c r="A10" s="73"/>
      <c r="B10" s="31"/>
      <c r="C10" s="361">
        <v>2006</v>
      </c>
      <c r="D10" s="358"/>
      <c r="E10" s="148">
        <v>35.9</v>
      </c>
      <c r="F10" s="358"/>
      <c r="G10" s="87" t="s">
        <v>146</v>
      </c>
      <c r="H10" s="31"/>
      <c r="I10" s="31"/>
      <c r="J10" s="31"/>
    </row>
    <row r="11" spans="1:12" s="3" customFormat="1" ht="25.5" customHeight="1" thickBot="1">
      <c r="A11" s="620" t="s">
        <v>511</v>
      </c>
      <c r="B11" s="621"/>
      <c r="C11" s="621"/>
      <c r="D11" s="621"/>
      <c r="E11" s="621"/>
      <c r="F11" s="621"/>
      <c r="G11" s="621"/>
      <c r="H11" s="621"/>
      <c r="I11" s="621"/>
      <c r="J11" s="621"/>
      <c r="K11" s="621"/>
      <c r="L11" s="621"/>
    </row>
    <row r="12" spans="1:12" ht="21.75" customHeight="1">
      <c r="A12" s="53"/>
      <c r="B12" s="141"/>
      <c r="C12" s="626" t="s">
        <v>358</v>
      </c>
      <c r="D12" s="54"/>
      <c r="E12" s="628" t="s">
        <v>123</v>
      </c>
      <c r="F12" s="54"/>
      <c r="G12" s="626" t="s">
        <v>508</v>
      </c>
      <c r="H12" s="54"/>
      <c r="I12" s="628" t="s">
        <v>123</v>
      </c>
      <c r="J12" s="630"/>
      <c r="K12" s="630"/>
      <c r="L12" s="631"/>
    </row>
    <row r="13" spans="1:12" ht="39.75" customHeight="1" thickBot="1">
      <c r="A13" s="143" t="s">
        <v>208</v>
      </c>
      <c r="B13" s="142"/>
      <c r="C13" s="627"/>
      <c r="D13" s="208"/>
      <c r="E13" s="629" t="s">
        <v>102</v>
      </c>
      <c r="F13" s="33"/>
      <c r="G13" s="627"/>
      <c r="H13" s="208"/>
      <c r="I13" s="629" t="s">
        <v>102</v>
      </c>
      <c r="J13" s="632"/>
      <c r="K13" s="632"/>
      <c r="L13" s="633"/>
    </row>
    <row r="14" spans="1:12" ht="12.75">
      <c r="A14" s="144" t="s">
        <v>125</v>
      </c>
      <c r="B14" s="170"/>
      <c r="C14" s="207">
        <v>19212650</v>
      </c>
      <c r="D14" s="131"/>
      <c r="E14" s="209">
        <f>+(C14/C17)*100</f>
        <v>87.4389297604067</v>
      </c>
      <c r="F14" s="131"/>
      <c r="G14" s="207">
        <f>12362741+559396+268153+8479710</f>
        <v>21670000</v>
      </c>
      <c r="H14" s="131"/>
      <c r="I14" s="209">
        <f>+(G14/G17)*100</f>
        <v>86.90595548425908</v>
      </c>
      <c r="J14" s="74" t="s">
        <v>124</v>
      </c>
      <c r="K14" s="74"/>
      <c r="L14" s="88"/>
    </row>
    <row r="15" spans="1:12" ht="12.75">
      <c r="A15" s="144" t="s">
        <v>127</v>
      </c>
      <c r="B15" s="170"/>
      <c r="C15" s="132">
        <v>550000</v>
      </c>
      <c r="D15" s="131"/>
      <c r="E15" s="136">
        <f>+(C15/C17)*100</f>
        <v>2.5031118231073632</v>
      </c>
      <c r="F15" s="131"/>
      <c r="G15" s="132">
        <f>700000+60000</f>
        <v>760000</v>
      </c>
      <c r="H15" s="131"/>
      <c r="I15" s="136">
        <f>+(G15/G17)*100</f>
        <v>3.0479246039703227</v>
      </c>
      <c r="J15" s="75" t="s">
        <v>126</v>
      </c>
      <c r="K15" s="75"/>
      <c r="L15" s="89"/>
    </row>
    <row r="16" spans="1:12" ht="12.75">
      <c r="A16" s="186" t="s">
        <v>129</v>
      </c>
      <c r="B16" s="171"/>
      <c r="C16" s="132">
        <f>810000+1400000</f>
        <v>2210000</v>
      </c>
      <c r="D16" s="131"/>
      <c r="E16" s="136">
        <f>+(C16/C17)*100</f>
        <v>10.05795841648595</v>
      </c>
      <c r="F16" s="131"/>
      <c r="G16" s="132">
        <f>24935000-G14-G15</f>
        <v>2505000</v>
      </c>
      <c r="H16" s="131"/>
      <c r="I16" s="136">
        <f>+(G16/G17)*100</f>
        <v>10.046119911770605</v>
      </c>
      <c r="J16" s="75" t="s">
        <v>128</v>
      </c>
      <c r="K16" s="75"/>
      <c r="L16" s="89"/>
    </row>
    <row r="17" spans="1:12" ht="12.75">
      <c r="A17" s="144" t="s">
        <v>131</v>
      </c>
      <c r="B17" s="170"/>
      <c r="C17" s="133">
        <f>SUM(C14:C16)</f>
        <v>21972650</v>
      </c>
      <c r="D17" s="134"/>
      <c r="E17" s="211">
        <f>+(C17/C17)*100</f>
        <v>100</v>
      </c>
      <c r="F17" s="134"/>
      <c r="G17" s="133">
        <f>SUM(G14:G16)</f>
        <v>24935000</v>
      </c>
      <c r="H17" s="134"/>
      <c r="I17" s="211">
        <f>+(G17/G17)*100</f>
        <v>100</v>
      </c>
      <c r="J17" s="212" t="s">
        <v>130</v>
      </c>
      <c r="K17" s="212"/>
      <c r="L17" s="213"/>
    </row>
    <row r="18" spans="1:12" ht="12.75">
      <c r="A18" s="55"/>
      <c r="B18" s="32"/>
      <c r="C18" s="580"/>
      <c r="D18" s="134"/>
      <c r="E18" s="582"/>
      <c r="F18" s="134"/>
      <c r="G18" s="580"/>
      <c r="H18" s="134"/>
      <c r="I18" s="582"/>
      <c r="J18" s="214"/>
      <c r="K18" s="214"/>
      <c r="L18" s="216"/>
    </row>
    <row r="19" spans="1:12" ht="12.75">
      <c r="A19" s="55" t="s">
        <v>209</v>
      </c>
      <c r="B19" s="32"/>
      <c r="C19" s="581"/>
      <c r="D19" s="134"/>
      <c r="E19" s="583"/>
      <c r="F19" s="134"/>
      <c r="G19" s="581"/>
      <c r="H19" s="134"/>
      <c r="I19" s="583"/>
      <c r="J19" s="215"/>
      <c r="K19" s="215"/>
      <c r="L19" s="217"/>
    </row>
    <row r="20" spans="1:12" ht="12.75">
      <c r="A20" s="186" t="s">
        <v>135</v>
      </c>
      <c r="B20" s="171"/>
      <c r="C20" s="132">
        <v>21678140</v>
      </c>
      <c r="D20" s="131"/>
      <c r="E20" s="135">
        <f>+(C20/C24)*100</f>
        <v>71.51515951261273</v>
      </c>
      <c r="F20" s="131"/>
      <c r="G20" s="132">
        <v>23998925</v>
      </c>
      <c r="H20" s="131"/>
      <c r="I20" s="135">
        <f>+(G20/G24)*100</f>
        <v>66.78426325309587</v>
      </c>
      <c r="J20" s="74" t="s">
        <v>132</v>
      </c>
      <c r="K20" s="74"/>
      <c r="L20" s="88"/>
    </row>
    <row r="21" spans="1:12" ht="12.75">
      <c r="A21" s="186" t="s">
        <v>134</v>
      </c>
      <c r="B21" s="171"/>
      <c r="C21" s="132">
        <v>7946404</v>
      </c>
      <c r="D21" s="131"/>
      <c r="E21" s="136">
        <f>+(C21/C24)*100</f>
        <v>26.214811308150228</v>
      </c>
      <c r="F21" s="131"/>
      <c r="G21" s="132">
        <v>11191252</v>
      </c>
      <c r="H21" s="131"/>
      <c r="I21" s="136">
        <f>+(G21/G24)*100</f>
        <v>31.143041602894115</v>
      </c>
      <c r="J21" s="75" t="s">
        <v>133</v>
      </c>
      <c r="K21" s="75"/>
      <c r="L21" s="89"/>
    </row>
    <row r="22" spans="1:12" ht="12.75">
      <c r="A22" s="186" t="s">
        <v>103</v>
      </c>
      <c r="B22" s="171"/>
      <c r="C22" s="132">
        <v>140000</v>
      </c>
      <c r="D22" s="131"/>
      <c r="E22" s="135">
        <f>+(C22/C24)*100</f>
        <v>0.46185338464304504</v>
      </c>
      <c r="F22" s="131"/>
      <c r="G22" s="132">
        <v>29000</v>
      </c>
      <c r="H22" s="131"/>
      <c r="I22" s="135">
        <f>+(G22/G24)*100</f>
        <v>0.08070126617503827</v>
      </c>
      <c r="J22" s="75" t="s">
        <v>136</v>
      </c>
      <c r="K22" s="75"/>
      <c r="L22" s="89"/>
    </row>
    <row r="23" spans="1:12" ht="12.75">
      <c r="A23" s="186" t="s">
        <v>104</v>
      </c>
      <c r="B23" s="171"/>
      <c r="C23" s="132">
        <f>+C24-C22-C21-C20</f>
        <v>548106</v>
      </c>
      <c r="D23" s="131"/>
      <c r="E23" s="135">
        <f>+(C23/C24)*100</f>
        <v>1.8081757945940062</v>
      </c>
      <c r="F23" s="131"/>
      <c r="G23" s="132">
        <f>+G24-G20-G21-G22</f>
        <v>715823</v>
      </c>
      <c r="H23" s="131"/>
      <c r="I23" s="135">
        <f>+(G23/G24)*100</f>
        <v>1.99199387783498</v>
      </c>
      <c r="J23" s="75" t="s">
        <v>137</v>
      </c>
      <c r="K23" s="75"/>
      <c r="L23" s="89"/>
    </row>
    <row r="24" spans="1:12" ht="12.75">
      <c r="A24" s="144" t="s">
        <v>105</v>
      </c>
      <c r="B24" s="172"/>
      <c r="C24" s="133">
        <v>30312650</v>
      </c>
      <c r="D24" s="134"/>
      <c r="E24" s="210">
        <f>+(C24/C24)*100</f>
        <v>100</v>
      </c>
      <c r="F24" s="134"/>
      <c r="G24" s="133">
        <v>35935000</v>
      </c>
      <c r="H24" s="134"/>
      <c r="I24" s="210">
        <f>+(G24/G24)*100</f>
        <v>100</v>
      </c>
      <c r="J24" s="75" t="s">
        <v>138</v>
      </c>
      <c r="K24" s="75"/>
      <c r="L24" s="89"/>
    </row>
    <row r="25" spans="1:12" ht="12.75">
      <c r="A25" s="56"/>
      <c r="B25" s="32"/>
      <c r="C25" s="584"/>
      <c r="D25" s="134"/>
      <c r="E25" s="585"/>
      <c r="F25" s="134"/>
      <c r="G25" s="584"/>
      <c r="H25" s="134"/>
      <c r="I25" s="586"/>
      <c r="J25" s="75"/>
      <c r="K25" s="75"/>
      <c r="L25" s="89"/>
    </row>
    <row r="26" spans="1:12" ht="13.5" thickBot="1">
      <c r="A26" s="187" t="s">
        <v>106</v>
      </c>
      <c r="B26" s="188"/>
      <c r="C26" s="139">
        <f>+C24-C17</f>
        <v>8340000</v>
      </c>
      <c r="D26" s="138"/>
      <c r="E26" s="140"/>
      <c r="F26" s="138"/>
      <c r="G26" s="139">
        <f>+G24-G17</f>
        <v>11000000</v>
      </c>
      <c r="H26" s="138"/>
      <c r="I26" s="137"/>
      <c r="J26" s="90" t="s">
        <v>139</v>
      </c>
      <c r="K26" s="90"/>
      <c r="L26" s="91"/>
    </row>
    <row r="27" spans="1:12" ht="12.75">
      <c r="A27" s="622" t="s">
        <v>512</v>
      </c>
      <c r="B27" s="623"/>
      <c r="C27" s="623"/>
      <c r="D27" s="623"/>
      <c r="E27" s="623"/>
      <c r="F27" s="623"/>
      <c r="G27" s="623"/>
      <c r="H27" s="623"/>
      <c r="I27" s="623"/>
      <c r="J27" s="623"/>
      <c r="K27" s="623"/>
      <c r="L27" s="623"/>
    </row>
    <row r="28" spans="1:12" ht="12.75">
      <c r="A28" s="624" t="s">
        <v>0</v>
      </c>
      <c r="B28" s="625"/>
      <c r="C28" s="625"/>
      <c r="D28" s="625"/>
      <c r="E28" s="625"/>
      <c r="F28" s="625"/>
      <c r="G28" s="625"/>
      <c r="H28" s="625"/>
      <c r="I28" s="625"/>
      <c r="J28" s="625"/>
      <c r="K28" s="625"/>
      <c r="L28" s="625"/>
    </row>
    <row r="29" spans="1:12" ht="12.75">
      <c r="A29" s="624" t="s">
        <v>0</v>
      </c>
      <c r="B29" s="625"/>
      <c r="C29" s="625"/>
      <c r="D29" s="625"/>
      <c r="E29" s="625"/>
      <c r="F29" s="625"/>
      <c r="G29" s="625"/>
      <c r="H29" s="625"/>
      <c r="I29" s="625"/>
      <c r="J29" s="625"/>
      <c r="K29" s="625"/>
      <c r="L29" s="625"/>
    </row>
    <row r="30" spans="1:12" ht="12.75">
      <c r="A30" s="128"/>
      <c r="B30" s="128"/>
      <c r="C30" s="128"/>
      <c r="D30" s="128"/>
      <c r="E30" s="128"/>
      <c r="F30" s="128"/>
      <c r="G30" s="128"/>
      <c r="H30" s="128"/>
      <c r="I30" s="128"/>
      <c r="J30" s="127" t="s">
        <v>0</v>
      </c>
      <c r="K30" s="128"/>
      <c r="L30" s="128"/>
    </row>
    <row r="31" spans="7:10" ht="12.75">
      <c r="G31" t="s">
        <v>0</v>
      </c>
      <c r="J31" t="s">
        <v>0</v>
      </c>
    </row>
  </sheetData>
  <mergeCells count="9">
    <mergeCell ref="A11:L11"/>
    <mergeCell ref="A27:L27"/>
    <mergeCell ref="A28:L28"/>
    <mergeCell ref="A29:L29"/>
    <mergeCell ref="G12:G13"/>
    <mergeCell ref="E12:E13"/>
    <mergeCell ref="I12:I13"/>
    <mergeCell ref="C12:C13"/>
    <mergeCell ref="J12:L13"/>
  </mergeCells>
  <printOptions horizontalCentered="1" verticalCentered="1"/>
  <pageMargins left="0.32" right="0.5118110236220472" top="0.22" bottom="0.34" header="0.89" footer="0.5118110236220472"/>
  <pageSetup horizontalDpi="300" verticalDpi="300" orientation="landscape" paperSize="9"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dimension ref="A1:L44"/>
  <sheetViews>
    <sheetView showGridLines="0" workbookViewId="0" topLeftCell="A22">
      <selection activeCell="D41" sqref="D41"/>
    </sheetView>
  </sheetViews>
  <sheetFormatPr defaultColWidth="9.00390625" defaultRowHeight="12.75"/>
  <cols>
    <col min="1" max="1" width="12.625" style="0" customWidth="1"/>
    <col min="2" max="3" width="0.12890625" style="0" hidden="1" customWidth="1"/>
    <col min="4" max="4" width="20.875" style="0" customWidth="1"/>
    <col min="5" max="5" width="22.125" style="0" customWidth="1"/>
    <col min="6" max="6" width="19.00390625" style="0" bestFit="1" customWidth="1"/>
    <col min="7" max="7" width="12.75390625" style="0" customWidth="1"/>
    <col min="8" max="8" width="14.125" style="0" customWidth="1"/>
    <col min="9" max="9" width="17.00390625" style="0" customWidth="1"/>
    <col min="10" max="10" width="1.625" style="0" customWidth="1"/>
  </cols>
  <sheetData>
    <row r="1" spans="1:10" ht="14.25">
      <c r="A1" s="364" t="s">
        <v>140</v>
      </c>
      <c r="B1" s="3"/>
      <c r="C1" s="3"/>
      <c r="D1" s="3"/>
      <c r="E1" s="3"/>
      <c r="F1" s="3"/>
      <c r="G1" s="3"/>
      <c r="H1" s="3"/>
      <c r="I1" s="3"/>
      <c r="J1" s="3"/>
    </row>
    <row r="2" spans="1:10" ht="13.5" customHeight="1">
      <c r="A2" s="364" t="s">
        <v>13</v>
      </c>
      <c r="B2" s="3"/>
      <c r="C2" s="3"/>
      <c r="D2" s="3"/>
      <c r="E2" s="14"/>
      <c r="F2" s="3"/>
      <c r="G2" s="3"/>
      <c r="H2" s="3"/>
      <c r="I2" s="3"/>
      <c r="J2" s="3"/>
    </row>
    <row r="3" spans="1:10" ht="14.25">
      <c r="A3" s="150" t="s">
        <v>465</v>
      </c>
      <c r="B3" s="31"/>
      <c r="C3" s="3"/>
      <c r="D3" s="3"/>
      <c r="E3" s="3"/>
      <c r="F3" s="3"/>
      <c r="G3" s="3"/>
      <c r="H3" s="68"/>
      <c r="I3" s="3"/>
      <c r="J3" s="3"/>
    </row>
    <row r="4" spans="1:10" ht="3.75" customHeight="1" thickBot="1">
      <c r="A4" s="3"/>
      <c r="B4" s="3"/>
      <c r="C4" s="3"/>
      <c r="D4" s="3"/>
      <c r="E4" s="3"/>
      <c r="F4" s="3"/>
      <c r="G4" s="3"/>
      <c r="H4" s="3"/>
      <c r="I4" s="3"/>
      <c r="J4" s="3"/>
    </row>
    <row r="5" spans="1:10" ht="14.25" customHeight="1">
      <c r="A5" s="640" t="s">
        <v>212</v>
      </c>
      <c r="B5" s="642" t="s">
        <v>213</v>
      </c>
      <c r="C5" s="644" t="s">
        <v>214</v>
      </c>
      <c r="D5" s="646" t="s">
        <v>215</v>
      </c>
      <c r="E5" s="648" t="s">
        <v>216</v>
      </c>
      <c r="F5" s="650" t="s">
        <v>211</v>
      </c>
      <c r="G5" s="651"/>
      <c r="H5" s="636" t="s">
        <v>217</v>
      </c>
      <c r="I5" s="637"/>
      <c r="J5" s="3"/>
    </row>
    <row r="6" spans="1:10" ht="21.75" customHeight="1" thickBot="1">
      <c r="A6" s="641"/>
      <c r="B6" s="643"/>
      <c r="C6" s="645"/>
      <c r="D6" s="647"/>
      <c r="E6" s="649"/>
      <c r="F6" s="652"/>
      <c r="G6" s="653"/>
      <c r="H6" s="638"/>
      <c r="I6" s="639"/>
      <c r="J6" s="3"/>
    </row>
    <row r="7" spans="1:9" ht="13.5" customHeight="1">
      <c r="A7" s="174">
        <v>1989</v>
      </c>
      <c r="B7" s="362">
        <v>4705</v>
      </c>
      <c r="C7" s="363">
        <v>669</v>
      </c>
      <c r="D7" s="287">
        <f aca="true" t="shared" si="0" ref="D7:D14">+C7+B7</f>
        <v>5374</v>
      </c>
      <c r="E7" s="287">
        <v>4692</v>
      </c>
      <c r="F7" s="287">
        <f aca="true" t="shared" si="1" ref="F7:F21">+D7-E7</f>
        <v>682</v>
      </c>
      <c r="G7" s="174"/>
      <c r="H7" s="287">
        <f>(+F7/2137.81)*1000</f>
        <v>319.01806053858854</v>
      </c>
      <c r="I7" s="177"/>
    </row>
    <row r="8" spans="1:9" ht="13.5" customHeight="1">
      <c r="A8" s="175">
        <f>+A7+1</f>
        <v>1990</v>
      </c>
      <c r="B8" s="173">
        <v>9289</v>
      </c>
      <c r="C8" s="149">
        <v>1414</v>
      </c>
      <c r="D8" s="288">
        <f t="shared" si="0"/>
        <v>10703</v>
      </c>
      <c r="E8" s="288">
        <v>9304</v>
      </c>
      <c r="F8" s="288">
        <f t="shared" si="1"/>
        <v>1399</v>
      </c>
      <c r="G8" s="175"/>
      <c r="H8" s="288">
        <f>(+F8/2634.47)*1000</f>
        <v>531.036603187738</v>
      </c>
      <c r="I8" s="178"/>
    </row>
    <row r="9" spans="1:9" ht="13.5" customHeight="1">
      <c r="A9" s="175">
        <f>+A8+1</f>
        <v>1991</v>
      </c>
      <c r="B9" s="173">
        <v>15426</v>
      </c>
      <c r="C9" s="149">
        <v>3085</v>
      </c>
      <c r="D9" s="288">
        <f t="shared" si="0"/>
        <v>18511</v>
      </c>
      <c r="E9" s="288">
        <v>18383</v>
      </c>
      <c r="F9" s="288">
        <f t="shared" si="1"/>
        <v>128</v>
      </c>
      <c r="G9" s="175"/>
      <c r="H9" s="288">
        <f>(+F9/4264.54)*1000</f>
        <v>30.014960581915048</v>
      </c>
      <c r="I9" s="178"/>
    </row>
    <row r="10" spans="1:9" ht="13.5" customHeight="1">
      <c r="A10" s="175">
        <f>+A9+1</f>
        <v>1992</v>
      </c>
      <c r="B10" s="173">
        <v>29024</v>
      </c>
      <c r="C10" s="149">
        <v>3765</v>
      </c>
      <c r="D10" s="288">
        <f t="shared" si="0"/>
        <v>32789</v>
      </c>
      <c r="E10" s="288">
        <v>35345</v>
      </c>
      <c r="F10" s="288">
        <f>+D10-E10</f>
        <v>-2556</v>
      </c>
      <c r="G10" s="175" t="s">
        <v>14</v>
      </c>
      <c r="H10" s="288">
        <f>(+F10/6994.98)*1000</f>
        <v>-365.4049046601992</v>
      </c>
      <c r="I10" s="179" t="s">
        <v>14</v>
      </c>
    </row>
    <row r="11" spans="1:9" ht="13.5" customHeight="1">
      <c r="A11" s="175">
        <v>1993</v>
      </c>
      <c r="B11" s="173">
        <v>44444</v>
      </c>
      <c r="C11" s="149">
        <v>7724</v>
      </c>
      <c r="D11" s="288">
        <f t="shared" si="0"/>
        <v>52168</v>
      </c>
      <c r="E11" s="288">
        <v>60252</v>
      </c>
      <c r="F11" s="288">
        <f t="shared" si="1"/>
        <v>-8084</v>
      </c>
      <c r="G11" s="175" t="s">
        <v>14</v>
      </c>
      <c r="H11" s="288">
        <f>(+F11/11216.11)*1000</f>
        <v>-720.7489940808355</v>
      </c>
      <c r="I11" s="179" t="s">
        <v>14</v>
      </c>
    </row>
    <row r="12" spans="1:9" ht="13.5" customHeight="1">
      <c r="A12" s="175">
        <v>1994</v>
      </c>
      <c r="B12" s="173">
        <v>65304</v>
      </c>
      <c r="C12" s="149">
        <v>25031</v>
      </c>
      <c r="D12" s="288">
        <f t="shared" si="0"/>
        <v>90335</v>
      </c>
      <c r="E12" s="288">
        <v>109734</v>
      </c>
      <c r="F12" s="288">
        <f t="shared" si="1"/>
        <v>-19399</v>
      </c>
      <c r="G12" s="175" t="s">
        <v>14</v>
      </c>
      <c r="H12" s="288">
        <f>(+F12/30262.72)*1000</f>
        <v>-641.019710059109</v>
      </c>
      <c r="I12" s="179" t="s">
        <v>14</v>
      </c>
    </row>
    <row r="13" spans="1:9" ht="13.5" customHeight="1">
      <c r="A13" s="175">
        <v>1995</v>
      </c>
      <c r="B13" s="173">
        <v>103384</v>
      </c>
      <c r="C13" s="149">
        <v>34774</v>
      </c>
      <c r="D13" s="288">
        <f t="shared" si="0"/>
        <v>138158</v>
      </c>
      <c r="E13" s="288">
        <v>219493</v>
      </c>
      <c r="F13" s="288">
        <f t="shared" si="1"/>
        <v>-81335</v>
      </c>
      <c r="G13" s="175" t="s">
        <v>14</v>
      </c>
      <c r="H13" s="288">
        <f>(+F13/46558.58)*1000</f>
        <v>-1746.9390174700345</v>
      </c>
      <c r="I13" s="179" t="s">
        <v>14</v>
      </c>
    </row>
    <row r="14" spans="1:9" ht="13.5" customHeight="1">
      <c r="A14" s="175">
        <v>1996</v>
      </c>
      <c r="B14" s="173">
        <v>277533</v>
      </c>
      <c r="C14" s="149">
        <v>64903</v>
      </c>
      <c r="D14" s="288">
        <f t="shared" si="0"/>
        <v>342436</v>
      </c>
      <c r="E14" s="288">
        <v>486819</v>
      </c>
      <c r="F14" s="288">
        <f t="shared" si="1"/>
        <v>-144383</v>
      </c>
      <c r="G14" s="175" t="s">
        <v>14</v>
      </c>
      <c r="H14" s="288">
        <f>(+F14/83046.42)*1000</f>
        <v>-1738.581867827656</v>
      </c>
      <c r="I14" s="179" t="s">
        <v>14</v>
      </c>
    </row>
    <row r="15" spans="1:9" ht="13.5" customHeight="1">
      <c r="A15" s="175">
        <v>1997</v>
      </c>
      <c r="B15" s="173">
        <v>659653</v>
      </c>
      <c r="C15" s="149">
        <f aca="true" t="shared" si="2" ref="C15:C20">+D15-B15</f>
        <v>64736</v>
      </c>
      <c r="D15" s="288">
        <v>724389</v>
      </c>
      <c r="E15" s="288">
        <v>1060389</v>
      </c>
      <c r="F15" s="288">
        <f t="shared" si="1"/>
        <v>-336000</v>
      </c>
      <c r="G15" s="175" t="s">
        <v>14</v>
      </c>
      <c r="H15" s="288">
        <v>-2221</v>
      </c>
      <c r="I15" s="179" t="s">
        <v>14</v>
      </c>
    </row>
    <row r="16" spans="1:9" ht="13.5" customHeight="1">
      <c r="A16" s="175">
        <v>1998</v>
      </c>
      <c r="B16" s="173">
        <v>1283913</v>
      </c>
      <c r="C16" s="149">
        <f t="shared" si="2"/>
        <v>266105</v>
      </c>
      <c r="D16" s="288">
        <f>1400018+150000</f>
        <v>1550018</v>
      </c>
      <c r="E16" s="288">
        <v>1997018</v>
      </c>
      <c r="F16" s="288">
        <f t="shared" si="1"/>
        <v>-447000</v>
      </c>
      <c r="G16" s="175" t="s">
        <v>14</v>
      </c>
      <c r="H16" s="288">
        <v>-1692</v>
      </c>
      <c r="I16" s="179" t="s">
        <v>14</v>
      </c>
    </row>
    <row r="17" spans="1:9" ht="13.5" customHeight="1">
      <c r="A17" s="175">
        <v>1999</v>
      </c>
      <c r="B17" s="173">
        <v>2126820</v>
      </c>
      <c r="C17" s="149">
        <f t="shared" si="2"/>
        <v>368015</v>
      </c>
      <c r="D17" s="288">
        <v>2494835</v>
      </c>
      <c r="E17" s="288">
        <v>3605835</v>
      </c>
      <c r="F17" s="288">
        <f t="shared" si="1"/>
        <v>-1111000</v>
      </c>
      <c r="G17" s="175" t="s">
        <v>14</v>
      </c>
      <c r="H17" s="288">
        <v>-2662</v>
      </c>
      <c r="I17" s="179" t="s">
        <v>15</v>
      </c>
    </row>
    <row r="18" spans="1:9" ht="13.5" customHeight="1">
      <c r="A18" s="175">
        <v>2000</v>
      </c>
      <c r="B18" s="173">
        <v>4046018</v>
      </c>
      <c r="C18" s="149">
        <f t="shared" si="2"/>
        <v>848700</v>
      </c>
      <c r="D18" s="288">
        <f>5294718-400000</f>
        <v>4894718</v>
      </c>
      <c r="E18" s="288">
        <v>5294718</v>
      </c>
      <c r="F18" s="288">
        <f t="shared" si="1"/>
        <v>-400000</v>
      </c>
      <c r="G18" s="175" t="s">
        <v>14</v>
      </c>
      <c r="H18" s="288">
        <v>-688</v>
      </c>
      <c r="I18" s="179" t="s">
        <v>15</v>
      </c>
    </row>
    <row r="19" spans="1:9" ht="13.5" customHeight="1">
      <c r="A19" s="175">
        <v>2001</v>
      </c>
      <c r="B19" s="173">
        <v>6158198</v>
      </c>
      <c r="C19" s="149">
        <f t="shared" si="2"/>
        <v>1540333</v>
      </c>
      <c r="D19" s="288">
        <v>7698531</v>
      </c>
      <c r="E19" s="288">
        <v>8806531</v>
      </c>
      <c r="F19" s="288">
        <f t="shared" si="1"/>
        <v>-1108000</v>
      </c>
      <c r="G19" s="175" t="s">
        <v>14</v>
      </c>
      <c r="H19" s="288">
        <v>-806</v>
      </c>
      <c r="I19" s="179" t="s">
        <v>15</v>
      </c>
    </row>
    <row r="20" spans="1:9" ht="13.5" customHeight="1">
      <c r="A20" s="175">
        <v>2002</v>
      </c>
      <c r="B20" s="173">
        <v>9348501</v>
      </c>
      <c r="C20" s="149">
        <f t="shared" si="2"/>
        <v>1783548</v>
      </c>
      <c r="D20" s="288">
        <v>11132049</v>
      </c>
      <c r="E20" s="288">
        <v>13518049</v>
      </c>
      <c r="F20" s="288">
        <f t="shared" si="1"/>
        <v>-2386000</v>
      </c>
      <c r="G20" s="175" t="s">
        <v>14</v>
      </c>
      <c r="H20" s="288">
        <v>-1614</v>
      </c>
      <c r="I20" s="179" t="s">
        <v>15</v>
      </c>
    </row>
    <row r="21" spans="1:9" ht="13.5" customHeight="1">
      <c r="A21" s="175">
        <v>2003</v>
      </c>
      <c r="B21" s="173">
        <v>9348501</v>
      </c>
      <c r="C21" s="149">
        <f>+D21-B21</f>
        <v>6101559</v>
      </c>
      <c r="D21" s="288">
        <f>+E21-4808617</f>
        <v>15450060</v>
      </c>
      <c r="E21" s="288">
        <v>20258677</v>
      </c>
      <c r="F21" s="288">
        <f t="shared" si="1"/>
        <v>-4808617</v>
      </c>
      <c r="G21" s="175" t="s">
        <v>14</v>
      </c>
      <c r="H21" s="288">
        <v>-1924.7</v>
      </c>
      <c r="I21" s="179" t="s">
        <v>15</v>
      </c>
    </row>
    <row r="22" spans="1:9" ht="13.5" customHeight="1">
      <c r="A22" s="175" t="s">
        <v>518</v>
      </c>
      <c r="B22" s="173">
        <v>9348502</v>
      </c>
      <c r="C22" s="149">
        <f>+D22-B22</f>
        <v>10069456</v>
      </c>
      <c r="D22" s="288">
        <f>+E22-5757000</f>
        <v>19417958</v>
      </c>
      <c r="E22" s="288">
        <v>25174958</v>
      </c>
      <c r="F22" s="288">
        <f>+D22-E22</f>
        <v>-5757000</v>
      </c>
      <c r="G22" s="175" t="s">
        <v>14</v>
      </c>
      <c r="H22" s="288">
        <v>-4053.2</v>
      </c>
      <c r="I22" s="179" t="s">
        <v>15</v>
      </c>
    </row>
    <row r="23" spans="1:9" ht="13.5" customHeight="1">
      <c r="A23" s="175" t="s">
        <v>519</v>
      </c>
      <c r="B23" s="173">
        <v>9348502</v>
      </c>
      <c r="C23" s="149">
        <f>+D23-B23</f>
        <v>13391267</v>
      </c>
      <c r="D23" s="288">
        <f>30247036-7507267</f>
        <v>22739769</v>
      </c>
      <c r="E23" s="288">
        <v>30151436</v>
      </c>
      <c r="F23" s="288">
        <f>+D23-E23</f>
        <v>-7411667</v>
      </c>
      <c r="G23" s="175" t="s">
        <v>14</v>
      </c>
      <c r="H23" s="288">
        <v>-5604.5</v>
      </c>
      <c r="I23" s="179" t="s">
        <v>15</v>
      </c>
    </row>
    <row r="24" spans="1:9" ht="13.5" customHeight="1" thickBot="1">
      <c r="A24" s="176" t="s">
        <v>445</v>
      </c>
      <c r="B24" s="181">
        <v>9348503</v>
      </c>
      <c r="C24" s="182">
        <f>+D24-B24</f>
        <v>15969231</v>
      </c>
      <c r="D24" s="289">
        <f>26247734-930000</f>
        <v>25317734</v>
      </c>
      <c r="E24" s="289">
        <v>37826511</v>
      </c>
      <c r="F24" s="289">
        <f>+D24-E24</f>
        <v>-12508777</v>
      </c>
      <c r="G24" s="176" t="s">
        <v>14</v>
      </c>
      <c r="H24" s="559">
        <f>+F24/1319.9</f>
        <v>-9477.064171528145</v>
      </c>
      <c r="I24" s="180" t="s">
        <v>15</v>
      </c>
    </row>
    <row r="25" spans="1:9" ht="13.5" customHeight="1">
      <c r="A25" s="634" t="s">
        <v>517</v>
      </c>
      <c r="B25" s="635"/>
      <c r="C25" s="635"/>
      <c r="D25" s="635"/>
      <c r="E25" s="635"/>
      <c r="F25" s="635"/>
      <c r="G25" s="635"/>
      <c r="H25" s="635"/>
      <c r="I25" s="635"/>
    </row>
    <row r="26" spans="1:10" ht="13.5" customHeight="1">
      <c r="A26" s="634" t="s">
        <v>520</v>
      </c>
      <c r="B26" s="625"/>
      <c r="C26" s="625"/>
      <c r="D26" s="625"/>
      <c r="E26" s="625"/>
      <c r="F26" s="625"/>
      <c r="G26" s="625"/>
      <c r="H26" s="625"/>
      <c r="I26" s="625"/>
      <c r="J26" s="625"/>
    </row>
    <row r="27" spans="1:12" ht="25.5" customHeight="1">
      <c r="A27" s="634" t="s">
        <v>521</v>
      </c>
      <c r="B27" s="635"/>
      <c r="C27" s="635"/>
      <c r="D27" s="635"/>
      <c r="E27" s="635"/>
      <c r="F27" s="635"/>
      <c r="G27" s="635"/>
      <c r="H27" s="635"/>
      <c r="I27" s="635"/>
      <c r="L27" t="s">
        <v>0</v>
      </c>
    </row>
    <row r="28" spans="1:9" ht="10.5" customHeight="1">
      <c r="A28" s="634" t="s">
        <v>522</v>
      </c>
      <c r="B28" s="635"/>
      <c r="C28" s="635"/>
      <c r="D28" s="635"/>
      <c r="E28" s="635" t="s">
        <v>0</v>
      </c>
      <c r="F28" s="635" t="s">
        <v>0</v>
      </c>
      <c r="G28" s="635"/>
      <c r="H28" s="635"/>
      <c r="I28" s="635"/>
    </row>
    <row r="29" spans="1:3" ht="14.25">
      <c r="A29" s="3"/>
      <c r="B29" s="3"/>
      <c r="C29" s="3"/>
    </row>
    <row r="39" ht="12.75">
      <c r="F39" t="s">
        <v>0</v>
      </c>
    </row>
    <row r="40" ht="12.75">
      <c r="F40" t="s">
        <v>0</v>
      </c>
    </row>
    <row r="41" ht="12.75">
      <c r="F41" t="s">
        <v>0</v>
      </c>
    </row>
    <row r="44" ht="12.75">
      <c r="F44" t="s">
        <v>0</v>
      </c>
    </row>
  </sheetData>
  <mergeCells count="11">
    <mergeCell ref="H5:I6"/>
    <mergeCell ref="A5:A6"/>
    <mergeCell ref="B5:B6"/>
    <mergeCell ref="C5:C6"/>
    <mergeCell ref="D5:D6"/>
    <mergeCell ref="E5:E6"/>
    <mergeCell ref="F5:G6"/>
    <mergeCell ref="A26:J26"/>
    <mergeCell ref="A28:I28"/>
    <mergeCell ref="A27:I27"/>
    <mergeCell ref="A25:I25"/>
  </mergeCells>
  <printOptions horizontalCentered="1" verticalCentered="1"/>
  <pageMargins left="0.87" right="0.52" top="0.47" bottom="0.27" header="0.37" footer="0.22"/>
  <pageSetup horizontalDpi="300" verticalDpi="300" orientation="landscape" paperSize="9" r:id="rId2"/>
  <headerFooter alignWithMargins="0">
    <oddFooter>&amp;C7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SSk</dc:creator>
  <cp:keywords/>
  <dc:description/>
  <cp:lastModifiedBy>Administrator</cp:lastModifiedBy>
  <cp:lastPrinted>2006-03-13T14:04:30Z</cp:lastPrinted>
  <dcterms:created xsi:type="dcterms:W3CDTF">2003-01-30T06:57:34Z</dcterms:created>
  <dcterms:modified xsi:type="dcterms:W3CDTF">2006-03-20T13:57:02Z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2033607522</vt:i4>
  </property>
  <property fmtid="{D5CDD505-2E9C-101B-9397-08002B2CF9AE}" pid="3" name="_EmailSubject">
    <vt:lpwstr/>
  </property>
  <property fmtid="{D5CDD505-2E9C-101B-9397-08002B2CF9AE}" pid="4" name="_AuthorEmail">
    <vt:lpwstr>ttopaloglu@ssk.gov.tr</vt:lpwstr>
  </property>
  <property fmtid="{D5CDD505-2E9C-101B-9397-08002B2CF9AE}" pid="5" name="_AuthorEmailDisplayName">
    <vt:lpwstr>TULAY TOPALOGLU</vt:lpwstr>
  </property>
  <property fmtid="{D5CDD505-2E9C-101B-9397-08002B2CF9AE}" pid="6" name="_PreviousAdHocReviewCycleID">
    <vt:i4>-1059832189</vt:i4>
  </property>
</Properties>
</file>